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https://actraonline-my.sharepoint.com/personal/twalsh_actra_ca/Documents/Desktop/Website Working/PRS/2024 Updates/Reporting/"/>
    </mc:Choice>
  </mc:AlternateContent>
  <xr:revisionPtr revIDLastSave="0" documentId="8_{B9D06921-02B1-4486-83D4-B2B7435DC55E}" xr6:coauthVersionLast="47" xr6:coauthVersionMax="47" xr10:uidLastSave="{00000000-0000-0000-0000-000000000000}"/>
  <workbookProtection workbookAlgorithmName="SHA-512" workbookHashValue="q03Plj5+fCDtk2dOLgJNMkR6hxZFQYqdAmEuFyYT8oy0JJahPrSObfTaFghcfBLhhxLpllbQzgsP1JuBXa8rgQ==" workbookSaltValue="URmseUcbLPisJrIjalRqng==" workbookSpinCount="100000" lockStructure="1"/>
  <bookViews>
    <workbookView xWindow="-110" yWindow="-110" windowWidth="19420" windowHeight="11500" activeTab="1" xr2:uid="{5E666503-2E05-4B9A-92B1-1D87DA92E939}"/>
  </bookViews>
  <sheets>
    <sheet name="REPORTING FORM" sheetId="1" r:id="rId1"/>
    <sheet name="Sales Amount" sheetId="8" r:id="rId2"/>
    <sheet name="DGR2" sheetId="10" state="hidden" r:id="rId3"/>
    <sheet name="DGR" sheetId="11" state="hidden" r:id="rId4"/>
    <sheet name="Reference" sheetId="5" state="hidden" r:id="rId5"/>
    <sheet name="Delcared Use_HST" sheetId="6" state="hidden" r:id="rId6"/>
  </sheets>
  <definedNames>
    <definedName name="BLUE">DGR!$C$16:$C$36</definedName>
    <definedName name="GREEN">DGR!$C$9:$C$15</definedName>
    <definedName name="GREY">DGR!$C$55:$C$64</definedName>
    <definedName name="ORANGE">DGR!$C$107:$C$130</definedName>
    <definedName name="PINK">DGR!$C$65:$C$82</definedName>
    <definedName name="PURPLE">DGR!$C$83:$C$106</definedName>
    <definedName name="RED">DGR!$C$2:$C$8</definedName>
    <definedName name="SelectedRange">VLOOKUP('REPORTING FORM'!A1048564, HelperTable, 2, FALSE)</definedName>
    <definedName name="YELLOW">DGR!$C$37:$C$54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1" l="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98" i="11"/>
  <c r="E99" i="11"/>
  <c r="E100" i="11"/>
  <c r="E101" i="11"/>
  <c r="E102" i="11"/>
  <c r="E103" i="11"/>
  <c r="E104" i="11"/>
  <c r="E105" i="11"/>
  <c r="E106" i="11"/>
  <c r="E107" i="11"/>
  <c r="E108" i="11"/>
  <c r="E109" i="11"/>
  <c r="E110" i="11"/>
  <c r="E111" i="11"/>
  <c r="E112" i="11"/>
  <c r="E113" i="11"/>
  <c r="E114" i="11"/>
  <c r="E115" i="11"/>
  <c r="E116" i="11"/>
  <c r="E117" i="11"/>
  <c r="E118" i="11"/>
  <c r="E119" i="11"/>
  <c r="E120" i="11"/>
  <c r="E121" i="11"/>
  <c r="E122" i="11"/>
  <c r="E123" i="11"/>
  <c r="E124" i="11"/>
  <c r="E125" i="11"/>
  <c r="E126" i="11"/>
  <c r="E127" i="11"/>
  <c r="E128" i="11"/>
  <c r="E129" i="11"/>
  <c r="E130" i="11"/>
  <c r="E2" i="11"/>
  <c r="H20" i="1"/>
  <c r="H2" i="11" l="1" a="1"/>
  <c r="H2" i="11" s="1"/>
  <c r="H10" i="1"/>
  <c r="D17" i="1" s="1"/>
  <c r="E10" i="1" a="1"/>
  <c r="E10" i="1" l="1"/>
  <c r="D4" i="10"/>
  <c r="D2" i="10"/>
  <c r="D1" i="10"/>
  <c r="AI2" i="10" l="1" a="1"/>
  <c r="AI2" i="10" s="1"/>
  <c r="X2" i="10" a="1"/>
  <c r="X2" i="10" s="1"/>
  <c r="J56" i="8"/>
  <c r="K56" i="8" s="1"/>
  <c r="J57" i="8"/>
  <c r="K57" i="8" s="1"/>
  <c r="J58" i="8"/>
  <c r="K58" i="8" s="1"/>
  <c r="J59" i="8"/>
  <c r="K59" i="8" s="1"/>
  <c r="J60" i="8"/>
  <c r="K60" i="8" s="1"/>
  <c r="J61" i="8"/>
  <c r="K61" i="8" s="1"/>
  <c r="J62" i="8"/>
  <c r="K62" i="8" s="1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D21" i="1" s="1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31" i="1"/>
  <c r="D32" i="1"/>
  <c r="AO2" i="10" l="1" a="1"/>
  <c r="AO2" i="10" s="1"/>
  <c r="AT2" i="10" a="1"/>
  <c r="AT2" i="10" s="1"/>
  <c r="J63" i="8"/>
  <c r="D34" i="1"/>
  <c r="K29" i="8"/>
  <c r="J37" i="1"/>
  <c r="K63" i="8" l="1"/>
  <c r="D22" i="1" s="1"/>
  <c r="I9" i="1"/>
  <c r="G34" i="1"/>
  <c r="G33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H22" i="1" l="1"/>
  <c r="G23" i="1"/>
  <c r="F1" i="5" l="1"/>
  <c r="H21" i="1" l="1"/>
  <c r="H24" i="1" s="1"/>
  <c r="H35" i="1" s="1"/>
  <c r="D24" i="1" l="1"/>
  <c r="H26" i="1"/>
  <c r="H28" i="1" s="1"/>
  <c r="H31" i="1" s="1"/>
  <c r="H33" i="1" s="1"/>
  <c r="H3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<sst xmlns="http://schemas.openxmlformats.org/spreadsheetml/2006/main" count="530" uniqueCount="267">
  <si>
    <t>ACTRA-PRS</t>
  </si>
  <si>
    <t>Select IPA Term:</t>
  </si>
  <si>
    <t>Production Year</t>
  </si>
  <si>
    <t>Total Performer Advance:</t>
  </si>
  <si>
    <t>Corresponding DGR Participation (%):</t>
  </si>
  <si>
    <t>Distributor(s) / License Agreements</t>
  </si>
  <si>
    <t>Territory</t>
  </si>
  <si>
    <t>Program Recoupment Schedule</t>
  </si>
  <si>
    <t>Recoupment Amount:</t>
  </si>
  <si>
    <t>All Sales</t>
  </si>
  <si>
    <t>Performer Advance Recoupment Schedule</t>
  </si>
  <si>
    <t>[including pre-sales and excluding Distribution Advances - see B509(3)]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</si>
  <si>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</si>
  <si>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</si>
  <si>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</si>
  <si>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</si>
  <si>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</si>
  <si>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</si>
  <si>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</si>
  <si>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</si>
  <si>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</si>
  <si>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</si>
  <si>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</si>
  <si>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</si>
  <si>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</si>
  <si>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</si>
  <si>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</si>
  <si>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</si>
  <si>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</si>
  <si>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</si>
  <si>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</si>
  <si>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</si>
  <si>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</si>
  <si>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</si>
  <si>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</si>
  <si>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</si>
  <si>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</si>
  <si>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</si>
  <si>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</si>
  <si>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</si>
  <si>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</si>
  <si>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</si>
  <si>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</si>
  <si>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</si>
  <si>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</si>
  <si>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</si>
  <si>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</si>
  <si>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</si>
  <si>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</si>
  <si>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</si>
  <si>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</si>
  <si>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</si>
  <si>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</si>
  <si>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</si>
  <si>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</si>
  <si>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</si>
  <si>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</si>
  <si>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</si>
  <si>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</si>
  <si>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</si>
  <si>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</si>
  <si>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</si>
  <si>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</si>
  <si>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</si>
  <si>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</si>
  <si>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</si>
  <si>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</si>
  <si>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</si>
  <si>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</si>
  <si>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</si>
  <si>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</si>
  <si>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</si>
  <si>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</si>
  <si>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</si>
  <si>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</si>
  <si>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</si>
  <si>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</si>
  <si>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</si>
  <si>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</si>
  <si>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</si>
  <si>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</si>
  <si>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</si>
  <si>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</si>
  <si>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</si>
  <si>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</si>
  <si>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</si>
  <si>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</si>
  <si>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</si>
  <si>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</si>
  <si>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</si>
  <si>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</si>
  <si>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</si>
  <si>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</si>
  <si>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</si>
  <si>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</si>
  <si>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</si>
  <si>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</si>
  <si>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</si>
  <si>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</si>
  <si>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</si>
  <si>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</si>
  <si>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</si>
  <si>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</si>
  <si>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</si>
  <si>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</si>
  <si>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</si>
  <si>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</si>
  <si>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</si>
  <si>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</si>
  <si>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</si>
  <si>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</si>
  <si>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</si>
  <si>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</si>
  <si>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</si>
  <si>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</si>
  <si>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r>
      <t xml:space="preserve">Declared Use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</si>
  <si>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Performer Advance = :</t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</si>
  <si>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</si>
  <si>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</si>
  <si>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</si>
  <si>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</si>
  <si>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</si>
  <si>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</si>
  <si>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</si>
  <si>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</si>
  <si>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</si>
  <si>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</si>
  <si>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</si>
  <si>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</si>
  <si>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</si>
  <si>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</si>
  <si>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</si>
  <si>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</si>
  <si>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</si>
  <si>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</si>
  <si>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</si>
  <si>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</si>
  <si>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</si>
  <si>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</si>
  <si>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</si>
  <si>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</si>
  <si>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</si>
  <si>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</si>
  <si>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</si>
  <si>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</si>
  <si>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</si>
  <si>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</si>
  <si>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</si>
  <si>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</si>
  <si>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</si>
  <si>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</si>
  <si>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</si>
  <si>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</si>
  <si>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</si>
  <si>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</si>
  <si>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</si>
  <si>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</si>
  <si>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</si>
  <si>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</si>
  <si>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t>Months Late: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</si>
  <si>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</si>
  <si>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</si>
  <si>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</si>
  <si>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</si>
  <si>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</si>
  <si>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</si>
  <si>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</si>
  <si>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</si>
  <si>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</si>
  <si>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</si>
  <si>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</si>
  <si>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</si>
  <si>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</si>
  <si>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</si>
  <si>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</si>
  <si>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</si>
  <si>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</si>
  <si>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</si>
  <si>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</si>
  <si>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</si>
  <si>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</si>
  <si>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</si>
  <si>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</si>
  <si>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</si>
  <si>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</si>
  <si>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</si>
  <si>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</si>
  <si>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</si>
  <si>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</si>
  <si>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</si>
  <si>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</si>
  <si>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Total Recoupment: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</si>
  <si>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</si>
  <si>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</si>
  <si>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</si>
  <si>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</si>
  <si>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</si>
  <si>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</si>
  <si>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</si>
  <si>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</si>
  <si>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</si>
  <si>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TIP 2002 - 2014</t>
  </si>
  <si>
    <t>All Use</t>
  </si>
  <si>
    <t>TIP 2015 - 2017</t>
  </si>
  <si>
    <t>Feature Films</t>
  </si>
  <si>
    <t>Theatrical, Pay TV, Basic Cable, Free TV and Ancillary revenue</t>
  </si>
  <si>
    <t>TIP 2018 - 2020 - Class I</t>
  </si>
  <si>
    <t>TIP 2018 - 2020 - Class II, III &amp; IV</t>
  </si>
  <si>
    <t>TIP 2015 - 2017-Theatrical, Pay TV, Basic Cable, Free TV and Ancillary revenue</t>
  </si>
  <si>
    <t>TIP 2018 - 2020 - Class I-Feature Films</t>
  </si>
  <si>
    <t>TIP 2018 - 2020 - Class II, III &amp; IV-All Use</t>
  </si>
  <si>
    <t>TIP 2018 - 2020 - Class II, III &amp; IV-Feature Films</t>
  </si>
  <si>
    <t>Theatrical, Pay TV, Basic Cable, Free TV, Ditigal Media and Ancillary revenue</t>
  </si>
  <si>
    <t>TIP 2018 - 2020 - Class I-Theatrical, Pay TV, Basic Cable, Free TV, Ditigal Media and Ancillary revenue</t>
  </si>
  <si>
    <t>TIP 2018 - 2020 - Class II, III &amp; IV-Theatrical, Pay TV, Basic Cable, Free TV, Ditigal Media and Ancillary revenue</t>
  </si>
  <si>
    <t>130% Prepayment | Theatrical Productions - 4 consecutive years</t>
  </si>
  <si>
    <t>105% Prepayment | Television and Other Productions - 4 consecutive years</t>
  </si>
  <si>
    <t>50% Documentary | 5 consecutive years</t>
  </si>
  <si>
    <t>IPA 1998 - Extended Aug 1999</t>
  </si>
  <si>
    <t>130% Prepayment | Theatrical Productions - 3 consecutive years</t>
  </si>
  <si>
    <t>105% Prepayment | Television and Other Productions - 3 consecutive years</t>
  </si>
  <si>
    <t>IPA 1999 - 2001</t>
  </si>
  <si>
    <t>IPA 2002 - 2003</t>
  </si>
  <si>
    <t>IPA 2004 - 2006</t>
  </si>
  <si>
    <t>IPA 2007 - 2009</t>
  </si>
  <si>
    <t>50% Documentary | All uses except Theatrical and New Media - 5 consecutive years</t>
  </si>
  <si>
    <t>50% Fact-base / Lifestyle |all uses except Theatrical and New Media - 4 consecutive years</t>
  </si>
  <si>
    <t>"Made For" New Media Content</t>
  </si>
  <si>
    <t>IPA 2010 - 2012</t>
  </si>
  <si>
    <t>IPA 2013 - 2015</t>
  </si>
  <si>
    <t>200% Prepayment | Animation - All Media - 10 consecutive years</t>
  </si>
  <si>
    <t>50% Fact-base / Lifestyle | All uses except Theatrical and New Media - 4 consecutive years</t>
  </si>
  <si>
    <t>IPA 2016 - 2018</t>
  </si>
  <si>
    <t>135% Prepayment | All Use Including New Media - 4 consecutive years</t>
  </si>
  <si>
    <t>130% Prepayment | Conventional excluding New Media - 4 consecutive years</t>
  </si>
  <si>
    <t>110% Prepayment | All Use Including New Media - 4 consecutive years</t>
  </si>
  <si>
    <t>105% Prepayment | Conventional  excluding New Media - 4 consecutive years</t>
  </si>
  <si>
    <t>105% New Media Use Tier A or B - 4 consecutive years</t>
  </si>
  <si>
    <t xml:space="preserve">New Media | Tier A or B - No Prepayment elected </t>
  </si>
  <si>
    <t>105% New Media Use Tier C or D - 4 consecutive years</t>
  </si>
  <si>
    <t>New Media | Tier C or D  - No Prepayment elected</t>
  </si>
  <si>
    <t>205% Prepayment | Animation - All Media including New Media - 10 consecutive years</t>
  </si>
  <si>
    <t>200% Prepayment | Animation - Excluding New Media - 10 consecutive years</t>
  </si>
  <si>
    <t>55% Documentary | All uses except Theatrical, including New Media - 5 consecutive years</t>
  </si>
  <si>
    <t>55% Fact-base / Lifestyle | All uses except Theatrical, including New Media - 4 consecutive years</t>
  </si>
  <si>
    <t>IPA 2019 - 2021</t>
  </si>
  <si>
    <t>130% Prepayment | Conventional  excluding New Media - 4 consecutive years</t>
  </si>
  <si>
    <t>105% New Media Use | Tier A or B - 4 consecutive years</t>
  </si>
  <si>
    <t>105% New Media Use | Tier C or D - 4 consecutive years</t>
  </si>
  <si>
    <t>IPA 2022 - 2024</t>
  </si>
  <si>
    <t>200% Prepayment | Animation - Conventional Use except New Media - 10 consecutive years</t>
  </si>
  <si>
    <t>200% Prepayment | Animation - Conventional Use excluding Theatrical and New Media - Perpetuity</t>
  </si>
  <si>
    <t>215% Prepayment | Animation - Conventional Use excluding New Media | Less than 60 mins - Perpetuity</t>
  </si>
  <si>
    <t>235% Prepayment | Animation - Conventional Use excluding New Media | Greater than 60 mins - Perpetuity</t>
  </si>
  <si>
    <t>Concatenate</t>
  </si>
  <si>
    <t>IPA Production Title:</t>
  </si>
  <si>
    <r>
      <t xml:space="preserve">Use Option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</si>
  <si>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CAD</t>
  </si>
  <si>
    <t>Independent Production Agreement</t>
  </si>
  <si>
    <t>5% GST + 6% QST</t>
  </si>
  <si>
    <t>5% GST + 7% QST</t>
  </si>
  <si>
    <t>5% GST + 9.975% QST</t>
  </si>
  <si>
    <t>(Please enter sales in Sales Amount sheet)</t>
  </si>
  <si>
    <t>205% Prepayment | Animation - All Use including New Media - 10 consecutive years</t>
  </si>
  <si>
    <t>205% Prepayment | Animation - All Use including New Media, excluding Theatrical - Perpetuity</t>
  </si>
  <si>
    <t>220% Prepayment | Animation - All Use including New Media | Less than 60 mins - Perpetuity</t>
  </si>
  <si>
    <t>240% Prepayment | Animation - All Use including New Media | Greater than 60 mins - Perpetuity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</si>
</sst>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[$-F800]dddd\,\ mmmm\ dd\,\ yyyy"/>
    <numFmt numFmtId="167" formatCode="0.000%"/>
    <numFmt numFmtId="168" formatCode="0.0000"/>
  </numFmts>
  <fonts count="2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10"/>
      <color theme="1"/>
      <name val="Arial Unicode MS"/>
    </font>
    <font>
      <sz val="8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CCCF5"/>
        <bgColor indexed="64"/>
      </patternFill>
    </fill>
    <fill>
      <patternFill patternType="solid">
        <fgColor rgb="FFD7ACFA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81">
    <xf numFmtId="0" fontId="0" fillId="0" borderId="0" xfId="0"/>
    <xf numFmtId="0" fontId="7" fillId="0" borderId="0" xfId="3"/>
    <xf numFmtId="10" fontId="7" fillId="0" borderId="0" xfId="3" applyNumberFormat="1"/>
    <xf numFmtId="0" fontId="7" fillId="0" borderId="1" xfId="3" applyBorder="1"/>
    <xf numFmtId="0" fontId="7" fillId="3" borderId="0" xfId="3" applyFill="1"/>
    <xf numFmtId="165" fontId="0" fillId="3" borderId="0" xfId="4" applyNumberFormat="1" applyFont="1" applyFill="1"/>
    <xf numFmtId="0" fontId="0" fillId="4" borderId="0" xfId="0" applyFill="1"/>
    <xf numFmtId="0" fontId="0" fillId="5" borderId="0" xfId="0" applyFill="1"/>
    <xf numFmtId="0" fontId="0" fillId="6" borderId="0" xfId="0" applyFill="1"/>
    <xf numFmtId="9" fontId="0" fillId="4" borderId="0" xfId="2" applyFont="1" applyFill="1"/>
    <xf numFmtId="9" fontId="0" fillId="5" borderId="0" xfId="2" applyFont="1" applyFill="1"/>
    <xf numFmtId="9" fontId="0" fillId="6" borderId="0" xfId="2" applyFont="1" applyFill="1"/>
    <xf numFmtId="0" fontId="4" fillId="4" borderId="0" xfId="0" applyFont="1" applyFill="1"/>
    <xf numFmtId="0" fontId="0" fillId="2" borderId="0" xfId="0" applyFill="1"/>
    <xf numFmtId="0" fontId="5" fillId="2" borderId="0" xfId="0" applyFont="1" applyFill="1"/>
    <xf numFmtId="167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locked="0" hidden="1"/>
    </xf>
    <xf numFmtId="0" fontId="3" fillId="0" borderId="0" xfId="0" applyFont="1" applyAlignment="1" applyProtection="1">
      <alignment horizontal="left" vertical="center"/>
      <protection locked="0" hidden="1"/>
    </xf>
    <xf numFmtId="166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166" fontId="3" fillId="0" borderId="0" xfId="0" applyNumberFormat="1" applyFont="1" applyProtection="1">
      <protection locked="0" hidden="1"/>
    </xf>
    <xf numFmtId="0" fontId="0" fillId="0" borderId="0" xfId="0" applyProtection="1"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44" fontId="3" fillId="0" borderId="0" xfId="0" applyNumberFormat="1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6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3" fillId="0" borderId="6" xfId="0" applyFont="1" applyBorder="1" applyProtection="1">
      <protection hidden="1"/>
    </xf>
    <xf numFmtId="0" fontId="14" fillId="0" borderId="0" xfId="0" applyFont="1" applyAlignment="1" applyProtection="1">
      <alignment horizontal="left"/>
      <protection hidden="1"/>
    </xf>
    <xf numFmtId="0" fontId="16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hidden="1"/>
    </xf>
    <xf numFmtId="1" fontId="3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5" fillId="0" borderId="0" xfId="0" applyFont="1" applyProtection="1">
      <protection hidden="1"/>
    </xf>
    <xf numFmtId="0" fontId="9" fillId="0" borderId="0" xfId="0" applyFont="1" applyAlignment="1" applyProtection="1">
      <alignment vertical="top"/>
      <protection hidden="1"/>
    </xf>
    <xf numFmtId="0" fontId="20" fillId="0" borderId="0" xfId="5" applyFont="1" applyBorder="1" applyAlignment="1" applyProtection="1">
      <alignment vertical="top"/>
      <protection locked="0" hidden="1"/>
    </xf>
    <xf numFmtId="0" fontId="19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6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8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0" fontId="8" fillId="0" borderId="0" xfId="3" applyFont="1"/>
    <xf numFmtId="9" fontId="8" fillId="0" borderId="0" xfId="4" applyFont="1" applyFill="1"/>
    <xf numFmtId="165" fontId="8" fillId="0" borderId="0" xfId="4" applyNumberFormat="1" applyFont="1" applyFill="1"/>
    <xf numFmtId="0" fontId="7" fillId="4" borderId="0" xfId="3" applyFill="1"/>
    <xf numFmtId="10" fontId="7" fillId="4" borderId="0" xfId="3" applyNumberFormat="1" applyFill="1"/>
    <xf numFmtId="165" fontId="0" fillId="4" borderId="0" xfId="4" applyNumberFormat="1" applyFont="1" applyFill="1"/>
    <xf numFmtId="9" fontId="7" fillId="3" borderId="0" xfId="4" applyFont="1" applyFill="1"/>
    <xf numFmtId="0" fontId="7" fillId="7" borderId="0" xfId="3" applyFill="1"/>
    <xf numFmtId="9" fontId="7" fillId="7" borderId="0" xfId="4" applyFont="1" applyFill="1"/>
    <xf numFmtId="165" fontId="0" fillId="7" borderId="0" xfId="4" applyNumberFormat="1" applyFont="1" applyFill="1"/>
    <xf numFmtId="0" fontId="0" fillId="0" borderId="0" xfId="0" applyAlignment="1">
      <alignment vertical="center" wrapText="1"/>
    </xf>
    <xf numFmtId="0" fontId="25" fillId="0" borderId="0" xfId="0" applyFont="1" applyAlignment="1">
      <alignment vertical="center"/>
    </xf>
    <xf numFmtId="0" fontId="7" fillId="2" borderId="22" xfId="0" applyFont="1" applyFill="1" applyBorder="1"/>
    <xf numFmtId="9" fontId="7" fillId="2" borderId="23" xfId="4" applyFont="1" applyFill="1" applyBorder="1"/>
    <xf numFmtId="165" fontId="0" fillId="2" borderId="24" xfId="4" applyNumberFormat="1" applyFont="1" applyFill="1" applyBorder="1"/>
    <xf numFmtId="0" fontId="7" fillId="2" borderId="23" xfId="0" applyFont="1" applyFill="1" applyBorder="1"/>
    <xf numFmtId="9" fontId="0" fillId="2" borderId="23" xfId="4" applyFont="1" applyFill="1" applyBorder="1"/>
    <xf numFmtId="0" fontId="7" fillId="4" borderId="22" xfId="0" applyFont="1" applyFill="1" applyBorder="1"/>
    <xf numFmtId="9" fontId="7" fillId="4" borderId="23" xfId="4" applyFont="1" applyFill="1" applyBorder="1"/>
    <xf numFmtId="165" fontId="7" fillId="4" borderId="24" xfId="4" applyNumberFormat="1" applyFont="1" applyFill="1" applyBorder="1"/>
    <xf numFmtId="9" fontId="0" fillId="4" borderId="23" xfId="4" applyFont="1" applyFill="1" applyBorder="1"/>
    <xf numFmtId="165" fontId="0" fillId="4" borderId="24" xfId="4" applyNumberFormat="1" applyFont="1" applyFill="1" applyBorder="1"/>
    <xf numFmtId="0" fontId="8" fillId="0" borderId="22" xfId="0" applyFont="1" applyBorder="1"/>
    <xf numFmtId="9" fontId="8" fillId="0" borderId="23" xfId="4" applyFont="1" applyFill="1" applyBorder="1"/>
    <xf numFmtId="165" fontId="8" fillId="0" borderId="24" xfId="4" applyNumberFormat="1" applyFont="1" applyFill="1" applyBorder="1"/>
    <xf numFmtId="0" fontId="7" fillId="6" borderId="22" xfId="0" applyFont="1" applyFill="1" applyBorder="1"/>
    <xf numFmtId="9" fontId="7" fillId="6" borderId="23" xfId="4" applyFont="1" applyFill="1" applyBorder="1"/>
    <xf numFmtId="165" fontId="0" fillId="6" borderId="24" xfId="4" applyNumberFormat="1" applyFont="1" applyFill="1" applyBorder="1"/>
    <xf numFmtId="0" fontId="7" fillId="6" borderId="23" xfId="0" applyFont="1" applyFill="1" applyBorder="1"/>
    <xf numFmtId="9" fontId="0" fillId="6" borderId="23" xfId="4" applyFont="1" applyFill="1" applyBorder="1"/>
    <xf numFmtId="0" fontId="7" fillId="8" borderId="22" xfId="0" applyFont="1" applyFill="1" applyBorder="1"/>
    <xf numFmtId="9" fontId="7" fillId="8" borderId="23" xfId="4" applyFont="1" applyFill="1" applyBorder="1"/>
    <xf numFmtId="165" fontId="0" fillId="8" borderId="24" xfId="4" applyNumberFormat="1" applyFont="1" applyFill="1" applyBorder="1"/>
    <xf numFmtId="0" fontId="7" fillId="8" borderId="23" xfId="0" applyFont="1" applyFill="1" applyBorder="1"/>
    <xf numFmtId="9" fontId="0" fillId="8" borderId="23" xfId="4" applyFont="1" applyFill="1" applyBorder="1"/>
    <xf numFmtId="0" fontId="7" fillId="9" borderId="22" xfId="0" applyFont="1" applyFill="1" applyBorder="1"/>
    <xf numFmtId="9" fontId="7" fillId="9" borderId="23" xfId="4" applyFont="1" applyFill="1" applyBorder="1"/>
    <xf numFmtId="165" fontId="0" fillId="9" borderId="24" xfId="4" applyNumberFormat="1" applyFont="1" applyFill="1" applyBorder="1"/>
    <xf numFmtId="0" fontId="7" fillId="9" borderId="23" xfId="0" applyFont="1" applyFill="1" applyBorder="1"/>
    <xf numFmtId="9" fontId="0" fillId="9" borderId="23" xfId="4" applyFont="1" applyFill="1" applyBorder="1"/>
    <xf numFmtId="0" fontId="7" fillId="10" borderId="22" xfId="0" applyFont="1" applyFill="1" applyBorder="1"/>
    <xf numFmtId="0" fontId="0" fillId="10" borderId="23" xfId="0" applyFill="1" applyBorder="1"/>
    <xf numFmtId="165" fontId="0" fillId="10" borderId="24" xfId="4" applyNumberFormat="1" applyFont="1" applyFill="1" applyBorder="1"/>
    <xf numFmtId="9" fontId="0" fillId="10" borderId="23" xfId="0" applyNumberFormat="1" applyFill="1" applyBorder="1"/>
    <xf numFmtId="9" fontId="0" fillId="10" borderId="23" xfId="4" applyFont="1" applyFill="1" applyBorder="1"/>
    <xf numFmtId="0" fontId="7" fillId="11" borderId="22" xfId="0" applyFont="1" applyFill="1" applyBorder="1"/>
    <xf numFmtId="0" fontId="0" fillId="11" borderId="23" xfId="0" applyFill="1" applyBorder="1"/>
    <xf numFmtId="165" fontId="0" fillId="11" borderId="24" xfId="4" applyNumberFormat="1" applyFont="1" applyFill="1" applyBorder="1"/>
    <xf numFmtId="9" fontId="0" fillId="11" borderId="23" xfId="0" applyNumberFormat="1" applyFill="1" applyBorder="1"/>
    <xf numFmtId="9" fontId="0" fillId="11" borderId="23" xfId="4" applyFont="1" applyFill="1" applyBorder="1"/>
    <xf numFmtId="0" fontId="7" fillId="12" borderId="22" xfId="0" applyFont="1" applyFill="1" applyBorder="1"/>
    <xf numFmtId="0" fontId="0" fillId="12" borderId="23" xfId="0" applyFill="1" applyBorder="1"/>
    <xf numFmtId="165" fontId="0" fillId="12" borderId="24" xfId="4" applyNumberFormat="1" applyFont="1" applyFill="1" applyBorder="1"/>
    <xf numFmtId="9" fontId="0" fillId="12" borderId="23" xfId="0" applyNumberFormat="1" applyFill="1" applyBorder="1"/>
    <xf numFmtId="9" fontId="0" fillId="12" borderId="23" xfId="4" applyFont="1" applyFill="1" applyBorder="1"/>
    <xf numFmtId="0" fontId="7" fillId="12" borderId="19" xfId="0" applyFont="1" applyFill="1" applyBorder="1"/>
    <xf numFmtId="9" fontId="0" fillId="12" borderId="20" xfId="4" applyFont="1" applyFill="1" applyBorder="1"/>
    <xf numFmtId="165" fontId="0" fillId="12" borderId="21" xfId="4" applyNumberFormat="1" applyFont="1" applyFill="1" applyBorder="1"/>
    <xf numFmtId="0" fontId="8" fillId="0" borderId="23" xfId="0" applyFont="1" applyBorder="1"/>
    <xf numFmtId="0" fontId="0" fillId="0" borderId="0" xfId="0" applyAlignment="1" applyProtection="1">
      <alignment horizontal="left" vertical="center" wrapText="1"/>
      <protection locked="0" hidden="1"/>
    </xf>
    <xf numFmtId="168" fontId="0" fillId="0" borderId="1" xfId="0" applyNumberFormat="1" applyBorder="1" applyAlignment="1" applyProtection="1">
      <alignment wrapText="1"/>
      <protection locked="0"/>
    </xf>
    <xf numFmtId="0" fontId="10" fillId="0" borderId="0" xfId="0" applyFont="1" applyAlignment="1" applyProtection="1">
      <alignment horizontal="center" vertical="center"/>
      <protection locked="0" hidden="1"/>
    </xf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165" fontId="0" fillId="0" borderId="0" xfId="2" applyNumberFormat="1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21" fillId="0" borderId="0" xfId="0" applyFont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4" fillId="0" borderId="18" xfId="0" applyFont="1" applyBorder="1" applyAlignment="1">
      <alignment horizontal="center" vertical="center" wrapText="1"/>
    </xf>
  </cellXfs>
  <cellStyles count="7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Percent" xfId="2" builtinId="5"/>
    <cellStyle name="Percent 2" xfId="4" xr:uid="{4FD868A3-CF3B-4C10-A45E-45A19CFFE902}"/>
  </cellStyles>
  <dxfs count="6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b/>
        <i val="0"/>
        <strike val="0"/>
        <color auto="1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0.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5999938962981048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8" formatCode="0.00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</dxfs>
  <tableStyles count="0" defaultTableStyle="TableStyleMedium2" defaultPivotStyle="PivotStyleLight16"/>
  <colors>
    <mruColors>
      <color rgb="FFD7ACFA"/>
      <color rgb="FFFCCC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62" dataDxfId="60" headerRowBorderDxfId="61" tableBorderDxfId="59" totalsRowBorderDxfId="58">
  <tableColumns count="6">
    <tableColumn id="1" xr3:uid="{7A0E1F8E-FCC7-46AC-BDEA-05E36E0189D5}" name="Column1" headerRowDxfId="57" dataDxfId="56"/>
    <tableColumn id="2" xr3:uid="{850EEA6C-9CA4-4BDA-A356-618D2E3803D8}" name="Column2" headerRowDxfId="55" dataDxfId="54"/>
    <tableColumn id="3" xr3:uid="{E108C951-AB57-4E1C-908D-3F110D7AC7B7}" name="Column3" headerRowDxfId="53" dataDxfId="52"/>
    <tableColumn id="4" xr3:uid="{252E20A9-919A-4E29-AAF8-BDCC09C67962}" name="Column4" headerRowDxfId="51" dataDxfId="50" headerRowCellStyle="Comma" dataCellStyle="Comma"/>
    <tableColumn id="5" xr3:uid="{CCA0EED3-CA7F-4E6F-A189-FD23DD7E072F}" name="Column5" headerRowDxfId="49" dataDxfId="48" headerRowCellStyle="Comma" dataCellStyle="Currency"/>
    <tableColumn id="6" xr3:uid="{24F11ED1-214D-4DB8-9104-D03A0F247900}" name="Column6" headerRowDxfId="47" dataDxfId="46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45" dataDxfId="43" headerRowBorderDxfId="44" tableBorderDxfId="42" totalsRowBorderDxfId="41">
  <tableColumns count="10">
    <tableColumn id="1" xr3:uid="{EA091CDF-BC6F-4230-8F64-267D8E51B7D6}" name="Column1" headerRowDxfId="40" dataDxfId="39"/>
    <tableColumn id="2" xr3:uid="{D65192E4-BFF3-41B7-B98C-90FA0D6B64A2}" name="Column2" headerRowDxfId="38" dataDxfId="37"/>
    <tableColumn id="3" xr3:uid="{8D2C1EA2-9635-461C-A1C6-5E1A1C2C2D50}" name="Column3" headerRowDxfId="36" dataDxfId="35"/>
    <tableColumn id="4" xr3:uid="{2FC276F1-58CF-4223-B6EF-CA227898710B}" name="Column4" headerRowDxfId="34" dataDxfId="33" headerRowCellStyle="Comma" dataCellStyle="Comma"/>
    <tableColumn id="5" xr3:uid="{85819B40-5CBF-4CCF-BAEE-DDEB1BA1491C}" name="Column5" headerRowDxfId="32" dataDxfId="31" headerRowCellStyle="Comma" dataCellStyle="Comma"/>
    <tableColumn id="6" xr3:uid="{51A0CE7C-69B5-4890-BC47-A595A43E03C0}" name="Column6" headerRowDxfId="30" dataDxfId="29"/>
    <tableColumn id="7" xr3:uid="{BE9D0145-DCDE-4B84-8B3B-5A51C81D6229}" name="Column7" headerRowDxfId="28" dataDxfId="27"/>
    <tableColumn id="8" xr3:uid="{EB2B3D0E-3FFD-4D35-8F3D-5603A068E9BA}" name="Column8" headerRowDxfId="26" dataDxfId="25" dataCellStyle="Comma"/>
    <tableColumn id="9" xr3:uid="{43655A47-0332-4654-9623-985DEF349144}" name="Column9" headerRowDxfId="24" dataDxfId="23">
      <calculatedColumnFormula>'Sales Amount'!$F29*'Sales Amount'!$H29</calculatedColumnFormula>
    </tableColumn>
    <tableColumn id="10" xr3:uid="{06324381-218F-4637-B214-615738371C45}" name="Column10" headerRowDxfId="22" dataDxfId="21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982D30-49F6-4035-B521-951BE93596B1}" name="DGRIPA" displayName="DGRIPA" ref="A1:C7" totalsRowShown="0" headerRowDxfId="20">
  <autoFilter ref="A1:C7" xr:uid="{95580F94-A302-4474-91A4-3C27A0BB4DBB}"/>
  <tableColumns count="3">
    <tableColumn id="1" xr3:uid="{26811678-ECAF-4635-B5FF-6D676E4CD539}" name="IPATerm" dataDxfId="19"/>
    <tableColumn id="2" xr3:uid="{3BFC9143-7D6D-49CF-A3C6-A5E56D271AF6}" name="UseFee" dataDxfId="18" dataCellStyle="Percent"/>
    <tableColumn id="3" xr3:uid="{F9482CB8-A358-476F-981B-26B72D611892}" name="DGR" dataDxfId="17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9"/>
  <sheetViews>
    <sheetView showGridLines="0" topLeftCell="A4" zoomScale="90" zoomScaleNormal="90" workbookViewId="0">
      <selection activeCell="D5" sqref="D5"/>
    </sheetView>
  </sheetViews>
  <sheetFormatPr defaultColWidth="9.1796875" defaultRowHeight="14.5"/>
  <cols>
    <col min="1" max="1" width="9.1796875" style="27"/>
    <col min="2" max="2" width="2.54296875" style="27" bestFit="1" customWidth="1"/>
    <col min="3" max="3" width="37.7265625" style="27" bestFit="1" customWidth="1"/>
    <col min="4" max="4" width="44.26953125" style="27" bestFit="1" customWidth="1"/>
    <col min="5" max="5" width="15.453125" style="27" customWidth="1"/>
    <col min="6" max="6" width="9" style="27" customWidth="1"/>
    <col min="7" max="7" width="47.1796875" style="27" bestFit="1" customWidth="1"/>
    <col min="8" max="10" width="20.1796875" style="27" customWidth="1"/>
    <col min="11" max="11" width="21" style="27" customWidth="1"/>
    <col min="12" max="16384" width="9.1796875" style="27"/>
  </cols>
  <sheetData>
    <row r="2" spans="2:15">
      <c r="C2" s="18" t="s">
        <v>0</v>
      </c>
      <c r="H2" s="152"/>
      <c r="I2" s="152"/>
      <c r="J2" s="152"/>
    </row>
    <row r="3" spans="2:15">
      <c r="C3" s="153" t="s">
        <v>258</v>
      </c>
      <c r="D3" s="153"/>
      <c r="E3" s="18"/>
      <c r="F3" s="18"/>
      <c r="G3" s="18"/>
      <c r="H3" s="152"/>
      <c r="I3" s="152"/>
      <c r="J3" s="152"/>
      <c r="L3" s="18"/>
      <c r="M3" s="18"/>
      <c r="N3" s="18"/>
    </row>
    <row r="5" spans="2:15">
      <c r="C5" s="18" t="s">
        <v>1</v>
      </c>
      <c r="D5" s="19"/>
      <c r="E5" s="29"/>
    </row>
    <row r="6" spans="2:15">
      <c r="C6" s="18"/>
    </row>
    <row r="7" spans="2:15" ht="23.25" customHeight="1">
      <c r="C7" s="30" t="s">
        <v>255</v>
      </c>
      <c r="D7" s="20"/>
      <c r="G7" s="31" t="s">
        <v>161</v>
      </c>
      <c r="H7" s="21"/>
      <c r="I7" s="32"/>
      <c r="J7" s="32"/>
      <c r="L7" s="32"/>
      <c r="M7" s="32"/>
      <c r="N7" s="32"/>
    </row>
    <row r="8" spans="2:15" ht="23.25" customHeight="1">
      <c r="C8" s="30" t="s">
        <v>2</v>
      </c>
      <c r="D8" s="20"/>
      <c r="G8" s="31" t="s">
        <v>114</v>
      </c>
      <c r="H8" s="22"/>
      <c r="I8" s="32"/>
      <c r="J8" s="32"/>
      <c r="L8" s="32"/>
      <c r="M8" s="32"/>
      <c r="N8" s="32"/>
    </row>
    <row r="9" spans="2:15" ht="23.25" customHeight="1">
      <c r="C9" s="30" t="s">
        <v>197</v>
      </c>
      <c r="D9" s="21"/>
      <c r="G9" s="31" t="s">
        <v>115</v>
      </c>
      <c r="H9" s="22"/>
      <c r="I9" s="33" t="str">
        <f>IFERROR(_xlfn.XLOOKUP(H9, 'Delcared Use_HST'!A32:A39, 'Delcared Use_HST'!B32:B39), "")</f>
        <v/>
      </c>
      <c r="J9" s="33"/>
      <c r="L9" s="32"/>
      <c r="M9" s="32"/>
      <c r="N9" s="32"/>
    </row>
    <row r="10" spans="2:15" ht="45" customHeight="1">
      <c r="C10" s="30" t="s">
        <v>256</v>
      </c>
      <c r="D10" s="150"/>
      <c r="E10" s="154" t="str" cm="1">
        <f t="array" aca="1" ref="E10" ca="1">IF(ISNA(MATCH(D10, INDIRECT(_xlfn.SWITCH('REPORTING FORM'!D5,
    "IPA 1995 - 1998", "Red",
    "IPA 1998 - Extended Aug 1999", "Green",
    "IPA 1999 - 2001", "Blue",
    "IPA 2002 - 2003", "Blue",
    "IPA 2004 - 2006", "Blue",
    "IPA 2007 - 2009", "Yellow",
    "IPA 2010 - 2012", "Yellow",
    "IPA 2013 - 2015", "Grey",
    "IPA 2016 - 2018", "Pink",
    "IPA 2019 - 2021", "Purple",
    "IPA 2022 - 2024", "Orange")), 0)),
    "Option invalid, select correct IPA Term", "")</f>
        <v>Option invalid, select correct IPA Term</v>
      </c>
      <c r="F10" s="154"/>
      <c r="G10" s="31" t="s">
        <v>4</v>
      </c>
      <c r="H10" s="155" t="str">
        <f>IFERROR(INDEX(DGR!F:F, MATCH(D5 &amp; "-" &amp; D10, DGR!E:E, 0)), "ERROR. Please select the correct IPA Term and Option. No match.")</f>
        <v>ERROR. Please select the correct IPA Term and Option. No match.</v>
      </c>
      <c r="I10" s="155"/>
      <c r="J10" s="155"/>
      <c r="L10" s="34"/>
      <c r="M10" s="34"/>
      <c r="N10" s="34"/>
    </row>
    <row r="11" spans="2:15" ht="23.25" customHeight="1">
      <c r="C11" s="30" t="s">
        <v>3</v>
      </c>
      <c r="D11" s="23"/>
    </row>
    <row r="12" spans="2:15">
      <c r="C12" s="35" t="s">
        <v>181</v>
      </c>
      <c r="D12" s="24"/>
      <c r="K12" s="45"/>
    </row>
    <row r="13" spans="2:15" ht="15" thickBot="1">
      <c r="C13" s="30"/>
    </row>
    <row r="14" spans="2:15">
      <c r="B14" s="37"/>
      <c r="C14" s="38"/>
      <c r="D14" s="38"/>
      <c r="E14" s="38"/>
      <c r="F14" s="38"/>
      <c r="G14" s="38"/>
      <c r="H14" s="38"/>
      <c r="I14" s="38"/>
      <c r="J14" s="38"/>
      <c r="K14" s="39"/>
      <c r="L14" s="40"/>
      <c r="M14" s="40"/>
      <c r="N14" s="40"/>
      <c r="O14" s="40"/>
    </row>
    <row r="15" spans="2:15">
      <c r="B15" s="41"/>
      <c r="C15" s="156" t="s">
        <v>7</v>
      </c>
      <c r="D15" s="156"/>
      <c r="E15" s="156"/>
      <c r="F15" s="156"/>
      <c r="G15" s="156"/>
      <c r="H15" s="156"/>
      <c r="I15" s="156"/>
      <c r="J15" s="156"/>
      <c r="K15" s="157"/>
    </row>
    <row r="16" spans="2:15">
      <c r="B16" s="41"/>
      <c r="K16" s="42"/>
    </row>
    <row r="17" spans="2:11">
      <c r="B17" s="41"/>
      <c r="C17" s="18" t="s">
        <v>8</v>
      </c>
      <c r="D17" s="36" t="str">
        <f>IFERROR(-D11/H10,"")</f>
        <v/>
      </c>
      <c r="G17" s="18" t="s">
        <v>10</v>
      </c>
      <c r="K17" s="42"/>
    </row>
    <row r="18" spans="2:11">
      <c r="B18" s="41"/>
      <c r="C18" s="18" t="s">
        <v>9</v>
      </c>
      <c r="G18" s="58" t="s">
        <v>11</v>
      </c>
      <c r="K18" s="42"/>
    </row>
    <row r="19" spans="2:11">
      <c r="B19" s="41"/>
      <c r="C19" s="58" t="s">
        <v>262</v>
      </c>
      <c r="K19" s="42"/>
    </row>
    <row r="20" spans="2:11">
      <c r="B20" s="41"/>
      <c r="D20" s="18" t="s">
        <v>168</v>
      </c>
      <c r="E20" s="18"/>
      <c r="G20" s="18" t="s">
        <v>116</v>
      </c>
      <c r="H20" s="44">
        <f>IFERROR(-D11,"")</f>
        <v>0</v>
      </c>
      <c r="I20" s="44"/>
      <c r="K20" s="42"/>
    </row>
    <row r="21" spans="2:11">
      <c r="B21" s="41"/>
      <c r="C21" s="28" t="s">
        <v>184</v>
      </c>
      <c r="D21" s="36">
        <f>'Sales Amount'!F20</f>
        <v>0</v>
      </c>
      <c r="G21" s="58" t="s">
        <v>189</v>
      </c>
      <c r="H21" s="45" t="str">
        <f>IFERROR(SUM(D21*$H$10), "")</f>
        <v/>
      </c>
      <c r="I21" s="45"/>
      <c r="K21" s="42"/>
    </row>
    <row r="22" spans="2:11">
      <c r="B22" s="41"/>
      <c r="C22" s="28" t="s">
        <v>188</v>
      </c>
      <c r="D22" s="36">
        <f>'Sales Amount'!K63</f>
        <v>0</v>
      </c>
      <c r="G22" s="58" t="s">
        <v>190</v>
      </c>
      <c r="H22" s="45" t="str">
        <f>IFERROR(SUM(D22*$H$10), "")</f>
        <v/>
      </c>
      <c r="I22" s="45"/>
      <c r="K22" s="42"/>
    </row>
    <row r="23" spans="2:11">
      <c r="B23" s="41"/>
      <c r="G23" s="45" t="str">
        <f>IFERROR(SUM(#REF!*$H$10), "")</f>
        <v/>
      </c>
      <c r="H23" s="45"/>
      <c r="I23" s="45"/>
      <c r="K23" s="42"/>
    </row>
    <row r="24" spans="2:11">
      <c r="B24" s="41"/>
      <c r="C24" s="18" t="s">
        <v>191</v>
      </c>
      <c r="D24" s="36">
        <f>SUBTOTAL(9,D17:D22)</f>
        <v>0</v>
      </c>
      <c r="E24" s="45"/>
      <c r="G24" s="18" t="s">
        <v>12</v>
      </c>
      <c r="H24" s="45">
        <f>ROUND(SUM(H20:H22),2)</f>
        <v>0</v>
      </c>
      <c r="I24" s="45"/>
      <c r="K24" s="42"/>
    </row>
    <row r="25" spans="2:11">
      <c r="B25" s="41"/>
      <c r="G25" s="45"/>
      <c r="H25" s="45"/>
      <c r="I25" s="45"/>
      <c r="K25" s="42"/>
    </row>
    <row r="26" spans="2:11">
      <c r="B26" s="41"/>
      <c r="D26" s="45"/>
      <c r="G26" s="18" t="s">
        <v>13</v>
      </c>
      <c r="H26" s="45">
        <f>IF(H24 &lt;= 0, 0, ROUND(SUM(H24 * 12%), 2))</f>
        <v>0</v>
      </c>
      <c r="J26" s="29"/>
      <c r="K26" s="42"/>
    </row>
    <row r="27" spans="2:11">
      <c r="B27" s="41"/>
      <c r="G27" s="18"/>
      <c r="J27" s="29"/>
      <c r="K27" s="46"/>
    </row>
    <row r="28" spans="2:11">
      <c r="B28" s="41"/>
      <c r="C28" s="47" t="s">
        <v>158</v>
      </c>
      <c r="D28" s="47"/>
      <c r="G28" s="18" t="s">
        <v>14</v>
      </c>
      <c r="H28" s="45">
        <f>IF(OR(H24 &lt;= 0, H26 &lt;= 0), 0, ROUND(SUM(H24, H26) * 1%, 2))</f>
        <v>0</v>
      </c>
      <c r="J28" s="29"/>
      <c r="K28" s="46"/>
    </row>
    <row r="29" spans="2:11">
      <c r="B29" s="41"/>
      <c r="C29" s="35" t="s">
        <v>162</v>
      </c>
      <c r="D29" s="25"/>
      <c r="E29" s="48"/>
      <c r="G29" s="58" t="s">
        <v>15</v>
      </c>
      <c r="J29" s="29"/>
      <c r="K29" s="46"/>
    </row>
    <row r="30" spans="2:11">
      <c r="B30" s="41"/>
      <c r="C30" s="59" t="s">
        <v>157</v>
      </c>
      <c r="D30" s="29"/>
      <c r="J30" s="29"/>
      <c r="K30" s="46"/>
    </row>
    <row r="31" spans="2:11">
      <c r="B31" s="41"/>
      <c r="C31" s="35" t="s">
        <v>163</v>
      </c>
      <c r="D31" s="49" t="str">
        <f>IF(D29="", "", D29+3%)</f>
        <v/>
      </c>
      <c r="G31" s="18" t="s">
        <v>16</v>
      </c>
      <c r="H31" s="45">
        <f>IF(H24&lt;=0, 0, ROUND(SUM(H24,H26,H28),2))</f>
        <v>0</v>
      </c>
      <c r="K31" s="46"/>
    </row>
    <row r="32" spans="2:11">
      <c r="B32" s="41"/>
      <c r="C32" s="29" t="s">
        <v>164</v>
      </c>
      <c r="D32" s="50" t="str">
        <f>IF(H7="", "", H7+60)</f>
        <v/>
      </c>
      <c r="E32" s="48"/>
      <c r="G32" s="18" t="s">
        <v>171</v>
      </c>
      <c r="H32" s="24"/>
      <c r="K32" s="46"/>
    </row>
    <row r="33" spans="2:11">
      <c r="B33" s="41"/>
      <c r="C33" s="29" t="s">
        <v>196</v>
      </c>
      <c r="D33" s="26"/>
      <c r="E33" s="48"/>
      <c r="G33" s="18" t="str">
        <f>IFERROR(_xlfn.XLOOKUP(H8, 'Delcared Use_HST'!A3:A16, 'Delcared Use_HST'!E3:E16), "Please choose 'Tax Territory'")</f>
        <v>Please choose 'Tax Territory'</v>
      </c>
      <c r="H33" s="45">
        <f>IFERROR((H31-H32) * _xlfn.XLOOKUP(H8,'Delcared Use_HST'!A3:A15,'Delcared Use_HST'!B3:B15), 0)</f>
        <v>0</v>
      </c>
      <c r="K33" s="46"/>
    </row>
    <row r="34" spans="2:11">
      <c r="B34" s="41"/>
      <c r="C34" s="27" t="s">
        <v>159</v>
      </c>
      <c r="D34" s="51" t="str">
        <f>IFERROR(DATEDIF(D32,D33,"m")," ")</f>
        <v xml:space="preserve"> </v>
      </c>
      <c r="E34" s="48"/>
      <c r="G34" s="43" t="str">
        <f>IF(ISBLANK(H8), "", IFERROR(_xlfn.XLOOKUP(H8, 'Delcared Use_HST'!A3:A16, 'Delcared Use_HST'!G3:G16), ""))</f>
        <v/>
      </c>
      <c r="H34" s="45"/>
      <c r="K34" s="46"/>
    </row>
    <row r="35" spans="2:11">
      <c r="B35" s="41"/>
      <c r="C35" s="29"/>
      <c r="D35" s="51"/>
      <c r="E35" s="48"/>
      <c r="G35" s="52" t="s">
        <v>160</v>
      </c>
      <c r="H35" s="45">
        <f>IFERROR(IF(H24&lt;=0, 0, (H31*D31)*(D34/12)),0)</f>
        <v>0</v>
      </c>
      <c r="K35" s="46"/>
    </row>
    <row r="36" spans="2:11">
      <c r="B36" s="41"/>
      <c r="K36" s="46"/>
    </row>
    <row r="37" spans="2:11">
      <c r="B37" s="41"/>
      <c r="G37" s="40" t="s">
        <v>17</v>
      </c>
      <c r="H37" s="45">
        <f>H33+H35+H31-H32</f>
        <v>0</v>
      </c>
      <c r="I37" s="53" t="s">
        <v>257</v>
      </c>
      <c r="J37" s="43" t="str">
        <f>IF(I37="", "Kindly indicate USD/CAD", "")</f>
        <v/>
      </c>
      <c r="K37" s="46"/>
    </row>
    <row r="38" spans="2:11" ht="15" thickBot="1">
      <c r="B38" s="54"/>
      <c r="C38" s="55"/>
      <c r="D38" s="55"/>
      <c r="E38" s="55"/>
      <c r="F38" s="55"/>
      <c r="G38" s="55"/>
      <c r="H38" s="55"/>
      <c r="I38" s="55"/>
      <c r="J38" s="55"/>
      <c r="K38" s="56"/>
    </row>
    <row r="49" spans="5:5">
      <c r="E49" s="57"/>
    </row>
  </sheetData>
  <sheetProtection algorithmName="SHA-512" hashValue="DMvvGYhhASd0Dkmkj/eCdh0Y2Jv61FIuwpc9Ok/o5+3lX69ljvQUFtrQ/QNvQcQDfBEBkZ9gG81Kzm2Wuqxf2w==" saltValue="GOzb0h11aOh98f1YJ7pTww==" spinCount="100000" sheet="1" selectLockedCells="1"/>
  <mergeCells count="5">
    <mergeCell ref="H2:J3"/>
    <mergeCell ref="C3:D3"/>
    <mergeCell ref="E10:F10"/>
    <mergeCell ref="H10:J10"/>
    <mergeCell ref="C15:K15"/>
  </mergeCells>
  <conditionalFormatting sqref="D5">
    <cfRule type="expression" dxfId="16" priority="23">
      <formula>ISBLANK(D5)</formula>
    </cfRule>
  </conditionalFormatting>
  <conditionalFormatting sqref="D7:D9">
    <cfRule type="expression" dxfId="15" priority="18">
      <formula>ISBLANK(D7)</formula>
    </cfRule>
  </conditionalFormatting>
  <conditionalFormatting sqref="D10">
    <cfRule type="expression" dxfId="14" priority="2">
      <formula>ISNA(MATCH(D10, INDIRECT(_xlfn.SWITCH(D5,     "IPA 1995 - 1998", "Red",     "IPA 1998 - Extended Aug 1999", "Green",     "IPA 1999 - 2001", "Blue",     "IPA 2002 - 2003", "Blue",     "IPA 2004 - 2006", "Blue",     "IPA 2007 - 2009", "Yellow",     "IPA 2010 - 2012", "Yellow",     "IPA 2013 - 2015", "Grey",     "IPA 2016 - 2018", "Pink",     "IPA 2019 - 2021", "Purple",     "IPA 2022 - 2024", "Orange")), 0))</formula>
    </cfRule>
  </conditionalFormatting>
  <conditionalFormatting sqref="D11">
    <cfRule type="expression" dxfId="13" priority="16">
      <formula>AND(ISNUMBER(SEARCH("advance", D10)), D11="")</formula>
    </cfRule>
  </conditionalFormatting>
  <conditionalFormatting sqref="D12">
    <cfRule type="expression" dxfId="12" priority="11">
      <formula>D12=""</formula>
    </cfRule>
  </conditionalFormatting>
  <conditionalFormatting sqref="D17 H20:H22 G23:H25 H31:H35">
    <cfRule type="cellIs" dxfId="11" priority="6" operator="lessThanOrEqual">
      <formula>0</formula>
    </cfRule>
  </conditionalFormatting>
  <conditionalFormatting sqref="D21:D22">
    <cfRule type="cellIs" dxfId="10" priority="7" operator="lessThanOrEqual">
      <formula>0</formula>
    </cfRule>
  </conditionalFormatting>
  <conditionalFormatting sqref="D24">
    <cfRule type="cellIs" dxfId="9" priority="14" operator="lessThanOrEqual">
      <formula>0</formula>
    </cfRule>
  </conditionalFormatting>
  <conditionalFormatting sqref="D29">
    <cfRule type="expression" dxfId="8" priority="9">
      <formula>$D$29=""</formula>
    </cfRule>
    <cfRule type="expression" dxfId="7" priority="13">
      <formula>ISBLANK(D29)</formula>
    </cfRule>
  </conditionalFormatting>
  <conditionalFormatting sqref="D33">
    <cfRule type="expression" dxfId="6" priority="8">
      <formula>$D$33=""</formula>
    </cfRule>
  </conditionalFormatting>
  <conditionalFormatting sqref="H7:H9">
    <cfRule type="expression" dxfId="5" priority="20">
      <formula>ISBLANK(H7)</formula>
    </cfRule>
  </conditionalFormatting>
  <conditionalFormatting sqref="H10">
    <cfRule type="expression" dxfId="4" priority="32">
      <formula>H10="ERROR. Please select the correct IPA Term and Option. No match."</formula>
    </cfRule>
  </conditionalFormatting>
  <conditionalFormatting sqref="H26 H28 H37">
    <cfRule type="cellIs" dxfId="3" priority="15" operator="lessThanOrEqual">
      <formula>0</formula>
    </cfRule>
  </conditionalFormatting>
  <conditionalFormatting sqref="H32">
    <cfRule type="expression" dxfId="2" priority="4">
      <formula>OR(H24&lt;=0, OR(H32=0, H32=""))</formula>
    </cfRule>
  </conditionalFormatting>
  <conditionalFormatting sqref="H2:J3">
    <cfRule type="expression" dxfId="1" priority="1">
      <formula>ISBLANK(H2)</formula>
    </cfRule>
  </conditionalFormatting>
  <conditionalFormatting sqref="I37">
    <cfRule type="expression" dxfId="0" priority="17">
      <formula>ISBLANK($I$37)</formula>
    </cfRule>
  </conditionalFormatting>
  <dataValidations count="7">
    <dataValidation type="list" allowBlank="1" showInputMessage="1" showErrorMessage="1" sqref="H9" xr:uid="{F6DD7ADB-8DE2-49CF-9A67-F1C50AB7AEC2}">
      <formula1>"Theatrical,Free Television,Pay Television,Cable Television,Compact Devices,Educational Television,New Media,Other"</formula1>
    </dataValidation>
    <dataValidation type="list" allowBlank="1" showInputMessage="1" showErrorMessage="1" sqref="H8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decimal" allowBlank="1" showInputMessage="1" showErrorMessage="1" sqref="D11" xr:uid="{E1358FFD-5CBC-4623-B10E-7FBAB8211240}">
      <formula1>-999999999</formula1>
      <formula2>999999999</formula2>
    </dataValidation>
    <dataValidation type="whole" allowBlank="1" showInputMessage="1" showErrorMessage="1" sqref="D8" xr:uid="{DCA10426-37EB-4B19-9B04-287AA53E80D7}">
      <formula1>-999999999</formula1>
      <formula2>999999999</formula2>
    </dataValidation>
    <dataValidation type="decimal" allowBlank="1" showInputMessage="1" showErrorMessage="1" sqref="D29" xr:uid="{F0092733-B00E-47C1-93C9-D3D1BDB76CCE}">
      <formula1>-99999999</formula1>
      <formula2>999999999</formula2>
    </dataValidation>
    <dataValidation type="decimal" allowBlank="1" showInputMessage="1" showErrorMessage="1" sqref="H32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A5D9F147-DE14-455D-914E-CED3BA200A5C}"/>
  </dataValidations>
  <hyperlinks>
    <hyperlink ref="C30" r:id="rId1" xr:uid="{4FBBFD2F-233E-4437-8586-328A104AA933}"/>
  </hyperlinks>
  <pageMargins left="0.7" right="0.7" top="0.75" bottom="0.75" header="0.3" footer="0.3"/>
  <pageSetup scale="49" orientation="landscape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FE0D26-0A58-418A-840C-57CD252C1AEA}">
          <x14:formula1>
            <xm:f>INDIRECT(DGR!$H$2)</xm:f>
          </x14:formula1>
          <xm:sqref>D10</xm:sqref>
        </x14:dataValidation>
        <x14:dataValidation type="list" allowBlank="1" showInputMessage="1" showErrorMessage="1" prompt="Please enter/elect information in the highlighted fields and Sales Amount sheet." xr:uid="{F8409579-69FF-42C1-8BAD-C1BBC911CB3B}">
          <x14:formula1>
            <xm:f>DGR!$A$2:$A$12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tabSelected="1" zoomScale="80" zoomScaleNormal="80" workbookViewId="0">
      <selection activeCell="B10" sqref="B10"/>
    </sheetView>
  </sheetViews>
  <sheetFormatPr defaultColWidth="8.7265625" defaultRowHeight="14.5"/>
  <cols>
    <col min="1" max="1" width="3" style="67" customWidth="1"/>
    <col min="2" max="2" width="41.26953125" style="67" customWidth="1"/>
    <col min="3" max="3" width="27" style="67" customWidth="1"/>
    <col min="4" max="4" width="21.453125" style="67" customWidth="1"/>
    <col min="5" max="6" width="22.453125" style="67" customWidth="1"/>
    <col min="7" max="7" width="30.26953125" style="67" bestFit="1" customWidth="1"/>
    <col min="8" max="8" width="30.81640625" style="67" customWidth="1"/>
    <col min="9" max="11" width="25.54296875" style="67" customWidth="1"/>
    <col min="12" max="12" width="23.1796875" style="67" bestFit="1" customWidth="1"/>
    <col min="13" max="16384" width="8.7265625" style="67"/>
  </cols>
  <sheetData>
    <row r="2" spans="2:12">
      <c r="B2" s="66" t="s">
        <v>175</v>
      </c>
      <c r="C2" s="71" t="str">
        <f>IF('REPORTING FORM'!D7=""," ",'REPORTING FORM'!D7)</f>
        <v xml:space="preserve"> </v>
      </c>
    </row>
    <row r="4" spans="2:12">
      <c r="B4" s="66" t="s">
        <v>174</v>
      </c>
      <c r="C4" s="72" t="str">
        <f>IF('REPORTING FORM'!H7=""," ",'REPORTING FORM'!H7)</f>
        <v xml:space="preserve"> </v>
      </c>
    </row>
    <row r="6" spans="2:12" ht="47.15" customHeight="1">
      <c r="B6" s="158" t="s">
        <v>194</v>
      </c>
      <c r="C6" s="158"/>
      <c r="D6" s="158"/>
    </row>
    <row r="7" spans="2:12" ht="15" thickBot="1"/>
    <row r="8" spans="2:12">
      <c r="B8" s="172" t="s">
        <v>183</v>
      </c>
      <c r="C8" s="173"/>
      <c r="D8" s="173"/>
      <c r="E8" s="173"/>
      <c r="F8" s="173"/>
      <c r="G8" s="173"/>
      <c r="H8" s="173"/>
      <c r="I8" s="173"/>
      <c r="J8" s="173"/>
      <c r="K8" s="173"/>
      <c r="L8" s="174"/>
    </row>
    <row r="9" spans="2:12" ht="51.75" customHeight="1">
      <c r="B9" s="61" t="s">
        <v>5</v>
      </c>
      <c r="C9" s="62" t="s">
        <v>167</v>
      </c>
      <c r="D9" s="63" t="s">
        <v>169</v>
      </c>
      <c r="E9" s="63" t="s">
        <v>200</v>
      </c>
      <c r="F9" s="63" t="s">
        <v>170</v>
      </c>
      <c r="G9" s="63" t="s">
        <v>6</v>
      </c>
      <c r="H9" s="159" t="s">
        <v>199</v>
      </c>
      <c r="I9" s="159"/>
      <c r="J9" s="159"/>
      <c r="K9" s="159"/>
      <c r="L9" s="175"/>
    </row>
    <row r="10" spans="2:12">
      <c r="B10" s="68"/>
      <c r="C10" s="64"/>
      <c r="D10" s="64"/>
      <c r="E10" s="73"/>
      <c r="F10" s="86"/>
      <c r="G10" s="74"/>
      <c r="H10" s="178"/>
      <c r="I10" s="178"/>
      <c r="J10" s="178"/>
      <c r="K10" s="178"/>
      <c r="L10" s="179"/>
    </row>
    <row r="11" spans="2:12">
      <c r="B11" s="68"/>
      <c r="C11" s="64"/>
      <c r="D11" s="64"/>
      <c r="E11" s="73"/>
      <c r="F11" s="86"/>
      <c r="G11" s="74"/>
      <c r="H11" s="178"/>
      <c r="I11" s="178"/>
      <c r="J11" s="178"/>
      <c r="K11" s="178"/>
      <c r="L11" s="179"/>
    </row>
    <row r="12" spans="2:12">
      <c r="B12" s="68"/>
      <c r="C12" s="64"/>
      <c r="D12" s="64"/>
      <c r="E12" s="73"/>
      <c r="F12" s="86"/>
      <c r="G12" s="74"/>
      <c r="H12" s="178"/>
      <c r="I12" s="178"/>
      <c r="J12" s="178"/>
      <c r="K12" s="178"/>
      <c r="L12" s="179"/>
    </row>
    <row r="13" spans="2:12">
      <c r="B13" s="68"/>
      <c r="C13" s="64"/>
      <c r="D13" s="64"/>
      <c r="E13" s="73"/>
      <c r="F13" s="86"/>
      <c r="G13" s="74"/>
      <c r="H13" s="178"/>
      <c r="I13" s="178"/>
      <c r="J13" s="178"/>
      <c r="K13" s="178"/>
      <c r="L13" s="179"/>
    </row>
    <row r="14" spans="2:12">
      <c r="B14" s="68"/>
      <c r="C14" s="64"/>
      <c r="D14" s="64"/>
      <c r="E14" s="73"/>
      <c r="F14" s="86"/>
      <c r="G14" s="74"/>
      <c r="H14" s="178"/>
      <c r="I14" s="178"/>
      <c r="J14" s="178"/>
      <c r="K14" s="178"/>
      <c r="L14" s="179"/>
    </row>
    <row r="15" spans="2:12">
      <c r="B15" s="68"/>
      <c r="C15" s="64"/>
      <c r="D15" s="64"/>
      <c r="E15" s="73"/>
      <c r="F15" s="86"/>
      <c r="G15" s="74"/>
      <c r="H15" s="178"/>
      <c r="I15" s="178"/>
      <c r="J15" s="178"/>
      <c r="K15" s="178"/>
      <c r="L15" s="179"/>
    </row>
    <row r="16" spans="2:12">
      <c r="B16" s="68"/>
      <c r="C16" s="64"/>
      <c r="D16" s="64"/>
      <c r="E16" s="73"/>
      <c r="F16" s="86"/>
      <c r="G16" s="74"/>
      <c r="H16" s="166"/>
      <c r="I16" s="167"/>
      <c r="J16" s="167"/>
      <c r="K16" s="167"/>
      <c r="L16" s="168"/>
    </row>
    <row r="17" spans="2:12">
      <c r="B17" s="68"/>
      <c r="C17" s="64"/>
      <c r="D17" s="64"/>
      <c r="E17" s="73"/>
      <c r="F17" s="86"/>
      <c r="G17" s="74"/>
      <c r="H17" s="169"/>
      <c r="I17" s="170"/>
      <c r="J17" s="170"/>
      <c r="K17" s="170"/>
      <c r="L17" s="171"/>
    </row>
    <row r="18" spans="2:12">
      <c r="B18" s="68"/>
      <c r="C18" s="64"/>
      <c r="D18" s="64"/>
      <c r="E18" s="73"/>
      <c r="F18" s="86"/>
      <c r="G18" s="74"/>
      <c r="H18" s="169"/>
      <c r="I18" s="170"/>
      <c r="J18" s="170"/>
      <c r="K18" s="170"/>
      <c r="L18" s="171"/>
    </row>
    <row r="19" spans="2:12">
      <c r="B19" s="69"/>
      <c r="C19" s="65"/>
      <c r="D19" s="65"/>
      <c r="E19" s="75"/>
      <c r="F19" s="87"/>
      <c r="G19" s="76"/>
      <c r="H19" s="169"/>
      <c r="I19" s="170"/>
      <c r="J19" s="170"/>
      <c r="K19" s="170"/>
      <c r="L19" s="171"/>
    </row>
    <row r="20" spans="2:12" ht="24" customHeight="1" thickBot="1">
      <c r="B20" s="70"/>
      <c r="C20" s="77"/>
      <c r="D20" s="77"/>
      <c r="E20" s="78" t="s">
        <v>176</v>
      </c>
      <c r="F20" s="79">
        <f>SUMIFS(Table5[[#All],[Column5]], Table5[[#All],[Column2]], "&lt;&gt;Distributor Agreement - Advance")</f>
        <v>0</v>
      </c>
      <c r="G20" s="60" t="s">
        <v>185</v>
      </c>
      <c r="H20" s="77"/>
      <c r="I20" s="77"/>
      <c r="J20" s="77"/>
      <c r="K20" s="77"/>
      <c r="L20" s="80"/>
    </row>
    <row r="23" spans="2:12" ht="15" thickBot="1"/>
    <row r="24" spans="2:12" ht="28" customHeight="1">
      <c r="B24" s="163" t="s">
        <v>187</v>
      </c>
      <c r="C24" s="164"/>
      <c r="D24" s="164"/>
      <c r="E24" s="164"/>
      <c r="F24" s="164"/>
      <c r="G24" s="164"/>
      <c r="H24" s="164"/>
      <c r="I24" s="164"/>
      <c r="J24" s="164"/>
      <c r="K24" s="165"/>
    </row>
    <row r="25" spans="2:12" ht="14.5" customHeight="1">
      <c r="B25" s="162" t="s">
        <v>165</v>
      </c>
      <c r="C25" s="159" t="s">
        <v>6</v>
      </c>
      <c r="D25" s="159" t="s">
        <v>166</v>
      </c>
      <c r="E25" s="159" t="s">
        <v>172</v>
      </c>
      <c r="F25" s="159" t="s">
        <v>173</v>
      </c>
      <c r="G25" s="159" t="s">
        <v>177</v>
      </c>
      <c r="H25" s="159" t="s">
        <v>193</v>
      </c>
      <c r="I25" s="176" t="s">
        <v>180</v>
      </c>
      <c r="J25" s="176"/>
      <c r="K25" s="177"/>
    </row>
    <row r="26" spans="2:12" ht="15" customHeight="1">
      <c r="B26" s="162"/>
      <c r="C26" s="159"/>
      <c r="D26" s="159"/>
      <c r="E26" s="159"/>
      <c r="F26" s="159"/>
      <c r="G26" s="159"/>
      <c r="H26" s="159"/>
      <c r="I26" s="63" t="s">
        <v>178</v>
      </c>
      <c r="J26" s="159" t="s">
        <v>179</v>
      </c>
      <c r="K26" s="175" t="s">
        <v>186</v>
      </c>
    </row>
    <row r="27" spans="2:12" ht="19.5" customHeight="1">
      <c r="B27" s="162"/>
      <c r="C27" s="159"/>
      <c r="D27" s="159"/>
      <c r="E27" s="159"/>
      <c r="F27" s="160" t="s">
        <v>195</v>
      </c>
      <c r="G27" s="159"/>
      <c r="H27" s="160" t="s">
        <v>198</v>
      </c>
      <c r="I27" s="160" t="s">
        <v>192</v>
      </c>
      <c r="J27" s="159"/>
      <c r="K27" s="175"/>
    </row>
    <row r="28" spans="2:12" ht="19.5" customHeight="1">
      <c r="B28" s="162"/>
      <c r="C28" s="159"/>
      <c r="D28" s="159"/>
      <c r="E28" s="159"/>
      <c r="F28" s="161"/>
      <c r="G28" s="159"/>
      <c r="H28" s="180"/>
      <c r="I28" s="160"/>
      <c r="J28" s="159"/>
      <c r="K28" s="175"/>
    </row>
    <row r="29" spans="2:12">
      <c r="B29" s="88"/>
      <c r="C29" s="89"/>
      <c r="D29" s="89"/>
      <c r="E29" s="90"/>
      <c r="F29" s="90"/>
      <c r="G29" s="89"/>
      <c r="H29" s="151"/>
      <c r="I29" s="90"/>
      <c r="J29" s="84">
        <f>'Sales Amount'!$F29*'Sales Amount'!$H29</f>
        <v>0</v>
      </c>
      <c r="K29" s="85">
        <f>Table6[[#This Row],[Column8]]+Table6[[#This Row],[Column9]]</f>
        <v>0</v>
      </c>
    </row>
    <row r="30" spans="2:12">
      <c r="B30" s="88"/>
      <c r="C30" s="89"/>
      <c r="D30" s="89"/>
      <c r="E30" s="90"/>
      <c r="F30" s="90"/>
      <c r="G30" s="89"/>
      <c r="H30" s="151"/>
      <c r="I30" s="90"/>
      <c r="J30" s="84">
        <f>'Sales Amount'!$F30*'Sales Amount'!$H30</f>
        <v>0</v>
      </c>
      <c r="K30" s="85">
        <f>Table6[[#This Row],[Column8]]+Table6[[#This Row],[Column9]]</f>
        <v>0</v>
      </c>
    </row>
    <row r="31" spans="2:12">
      <c r="B31" s="88"/>
      <c r="C31" s="89"/>
      <c r="D31" s="89"/>
      <c r="E31" s="90"/>
      <c r="F31" s="90"/>
      <c r="G31" s="89"/>
      <c r="H31" s="151"/>
      <c r="I31" s="90"/>
      <c r="J31" s="84">
        <f>'Sales Amount'!$F31*'Sales Amount'!$H31</f>
        <v>0</v>
      </c>
      <c r="K31" s="85">
        <f>Table6[[#This Row],[Column8]]+Table6[[#This Row],[Column9]]</f>
        <v>0</v>
      </c>
    </row>
    <row r="32" spans="2:12">
      <c r="B32" s="88"/>
      <c r="C32" s="89"/>
      <c r="D32" s="89"/>
      <c r="E32" s="90"/>
      <c r="F32" s="90"/>
      <c r="G32" s="89"/>
      <c r="H32" s="151"/>
      <c r="I32" s="90"/>
      <c r="J32" s="84">
        <f>'Sales Amount'!$F32*'Sales Amount'!$H32</f>
        <v>0</v>
      </c>
      <c r="K32" s="85">
        <f>Table6[[#This Row],[Column8]]+Table6[[#This Row],[Column9]]</f>
        <v>0</v>
      </c>
    </row>
    <row r="33" spans="2:11">
      <c r="B33" s="88"/>
      <c r="C33" s="89"/>
      <c r="D33" s="89"/>
      <c r="E33" s="90"/>
      <c r="F33" s="90"/>
      <c r="G33" s="89"/>
      <c r="H33" s="151"/>
      <c r="I33" s="90"/>
      <c r="J33" s="84">
        <f>'Sales Amount'!$F33*'Sales Amount'!$H33</f>
        <v>0</v>
      </c>
      <c r="K33" s="85">
        <f>Table6[[#This Row],[Column8]]+Table6[[#This Row],[Column9]]</f>
        <v>0</v>
      </c>
    </row>
    <row r="34" spans="2:11">
      <c r="B34" s="88"/>
      <c r="C34" s="89"/>
      <c r="D34" s="89"/>
      <c r="E34" s="90"/>
      <c r="F34" s="90"/>
      <c r="G34" s="89"/>
      <c r="H34" s="151"/>
      <c r="I34" s="90"/>
      <c r="J34" s="84">
        <f>'Sales Amount'!$F34*'Sales Amount'!$H34</f>
        <v>0</v>
      </c>
      <c r="K34" s="85">
        <f>Table6[[#This Row],[Column8]]+Table6[[#This Row],[Column9]]</f>
        <v>0</v>
      </c>
    </row>
    <row r="35" spans="2:11">
      <c r="B35" s="88"/>
      <c r="C35" s="89"/>
      <c r="D35" s="89"/>
      <c r="E35" s="90"/>
      <c r="F35" s="90"/>
      <c r="G35" s="89"/>
      <c r="H35" s="151"/>
      <c r="I35" s="90"/>
      <c r="J35" s="84">
        <f>'Sales Amount'!$F35*'Sales Amount'!$H35</f>
        <v>0</v>
      </c>
      <c r="K35" s="85">
        <f>Table6[[#This Row],[Column8]]+Table6[[#This Row],[Column9]]</f>
        <v>0</v>
      </c>
    </row>
    <row r="36" spans="2:11">
      <c r="B36" s="88"/>
      <c r="C36" s="89"/>
      <c r="D36" s="89"/>
      <c r="E36" s="90"/>
      <c r="F36" s="90"/>
      <c r="G36" s="89"/>
      <c r="H36" s="151"/>
      <c r="I36" s="90"/>
      <c r="J36" s="84">
        <f>'Sales Amount'!$F36*'Sales Amount'!$H36</f>
        <v>0</v>
      </c>
      <c r="K36" s="85">
        <f>Table6[[#This Row],[Column8]]+Table6[[#This Row],[Column9]]</f>
        <v>0</v>
      </c>
    </row>
    <row r="37" spans="2:11">
      <c r="B37" s="88"/>
      <c r="C37" s="89"/>
      <c r="D37" s="89"/>
      <c r="E37" s="90"/>
      <c r="F37" s="90"/>
      <c r="G37" s="89"/>
      <c r="H37" s="151"/>
      <c r="I37" s="90"/>
      <c r="J37" s="84">
        <f>'Sales Amount'!$F37*'Sales Amount'!$H37</f>
        <v>0</v>
      </c>
      <c r="K37" s="85">
        <f>Table6[[#This Row],[Column8]]+Table6[[#This Row],[Column9]]</f>
        <v>0</v>
      </c>
    </row>
    <row r="38" spans="2:11">
      <c r="B38" s="88"/>
      <c r="C38" s="89"/>
      <c r="D38" s="89"/>
      <c r="E38" s="90"/>
      <c r="F38" s="90"/>
      <c r="G38" s="89"/>
      <c r="H38" s="151"/>
      <c r="I38" s="90"/>
      <c r="J38" s="84">
        <f>'Sales Amount'!$F38*'Sales Amount'!$H38</f>
        <v>0</v>
      </c>
      <c r="K38" s="85">
        <f>Table6[[#This Row],[Column8]]+Table6[[#This Row],[Column9]]</f>
        <v>0</v>
      </c>
    </row>
    <row r="39" spans="2:11">
      <c r="B39" s="88"/>
      <c r="C39" s="89"/>
      <c r="D39" s="89"/>
      <c r="E39" s="90"/>
      <c r="F39" s="90"/>
      <c r="G39" s="89"/>
      <c r="H39" s="151"/>
      <c r="I39" s="90"/>
      <c r="J39" s="84">
        <f>'Sales Amount'!$F39*'Sales Amount'!$H39</f>
        <v>0</v>
      </c>
      <c r="K39" s="85">
        <f>Table6[[#This Row],[Column8]]+Table6[[#This Row],[Column9]]</f>
        <v>0</v>
      </c>
    </row>
    <row r="40" spans="2:11">
      <c r="B40" s="88"/>
      <c r="C40" s="89"/>
      <c r="D40" s="89"/>
      <c r="E40" s="90"/>
      <c r="F40" s="90"/>
      <c r="G40" s="89"/>
      <c r="H40" s="151"/>
      <c r="I40" s="90"/>
      <c r="J40" s="84">
        <f>'Sales Amount'!$F40*'Sales Amount'!$H40</f>
        <v>0</v>
      </c>
      <c r="K40" s="85">
        <f>Table6[[#This Row],[Column8]]+Table6[[#This Row],[Column9]]</f>
        <v>0</v>
      </c>
    </row>
    <row r="41" spans="2:11">
      <c r="B41" s="88"/>
      <c r="C41" s="89"/>
      <c r="D41" s="89"/>
      <c r="E41" s="90"/>
      <c r="F41" s="90"/>
      <c r="G41" s="89"/>
      <c r="H41" s="151"/>
      <c r="I41" s="90"/>
      <c r="J41" s="84">
        <f>'Sales Amount'!$F41*'Sales Amount'!$H41</f>
        <v>0</v>
      </c>
      <c r="K41" s="85">
        <f>Table6[[#This Row],[Column8]]+Table6[[#This Row],[Column9]]</f>
        <v>0</v>
      </c>
    </row>
    <row r="42" spans="2:11">
      <c r="B42" s="88"/>
      <c r="C42" s="89"/>
      <c r="D42" s="89"/>
      <c r="E42" s="90"/>
      <c r="F42" s="90"/>
      <c r="G42" s="89"/>
      <c r="H42" s="151"/>
      <c r="I42" s="90"/>
      <c r="J42" s="84">
        <f>'Sales Amount'!$F42*'Sales Amount'!$H42</f>
        <v>0</v>
      </c>
      <c r="K42" s="85">
        <f>Table6[[#This Row],[Column8]]+Table6[[#This Row],[Column9]]</f>
        <v>0</v>
      </c>
    </row>
    <row r="43" spans="2:11">
      <c r="B43" s="88"/>
      <c r="C43" s="89"/>
      <c r="D43" s="89"/>
      <c r="E43" s="90"/>
      <c r="F43" s="90"/>
      <c r="G43" s="89"/>
      <c r="H43" s="151"/>
      <c r="I43" s="90"/>
      <c r="J43" s="84">
        <f>'Sales Amount'!$F43*'Sales Amount'!$H43</f>
        <v>0</v>
      </c>
      <c r="K43" s="85">
        <f>Table6[[#This Row],[Column8]]+Table6[[#This Row],[Column9]]</f>
        <v>0</v>
      </c>
    </row>
    <row r="44" spans="2:11">
      <c r="B44" s="88"/>
      <c r="C44" s="89"/>
      <c r="D44" s="89"/>
      <c r="E44" s="90"/>
      <c r="F44" s="90"/>
      <c r="G44" s="89"/>
      <c r="H44" s="151"/>
      <c r="I44" s="90"/>
      <c r="J44" s="84">
        <f>'Sales Amount'!$F44*'Sales Amount'!$H44</f>
        <v>0</v>
      </c>
      <c r="K44" s="85">
        <f>Table6[[#This Row],[Column8]]+Table6[[#This Row],[Column9]]</f>
        <v>0</v>
      </c>
    </row>
    <row r="45" spans="2:11">
      <c r="B45" s="88"/>
      <c r="C45" s="89"/>
      <c r="D45" s="89"/>
      <c r="E45" s="90"/>
      <c r="F45" s="90"/>
      <c r="G45" s="89"/>
      <c r="H45" s="151"/>
      <c r="I45" s="90"/>
      <c r="J45" s="84">
        <f>'Sales Amount'!$F45*'Sales Amount'!$H45</f>
        <v>0</v>
      </c>
      <c r="K45" s="85">
        <f>Table6[[#This Row],[Column8]]+Table6[[#This Row],[Column9]]</f>
        <v>0</v>
      </c>
    </row>
    <row r="46" spans="2:11">
      <c r="B46" s="88"/>
      <c r="C46" s="89"/>
      <c r="D46" s="89"/>
      <c r="E46" s="90"/>
      <c r="F46" s="90"/>
      <c r="G46" s="89"/>
      <c r="H46" s="151"/>
      <c r="I46" s="90"/>
      <c r="J46" s="84">
        <f>'Sales Amount'!$F46*'Sales Amount'!$H46</f>
        <v>0</v>
      </c>
      <c r="K46" s="85">
        <f>Table6[[#This Row],[Column8]]+Table6[[#This Row],[Column9]]</f>
        <v>0</v>
      </c>
    </row>
    <row r="47" spans="2:11">
      <c r="B47" s="88"/>
      <c r="C47" s="89"/>
      <c r="D47" s="89"/>
      <c r="E47" s="90"/>
      <c r="F47" s="90"/>
      <c r="G47" s="89"/>
      <c r="H47" s="151"/>
      <c r="I47" s="90"/>
      <c r="J47" s="84">
        <f>'Sales Amount'!$F47*'Sales Amount'!$H47</f>
        <v>0</v>
      </c>
      <c r="K47" s="85">
        <f>Table6[[#This Row],[Column8]]+Table6[[#This Row],[Column9]]</f>
        <v>0</v>
      </c>
    </row>
    <row r="48" spans="2:11">
      <c r="B48" s="88"/>
      <c r="C48" s="89"/>
      <c r="D48" s="89"/>
      <c r="E48" s="90"/>
      <c r="F48" s="90"/>
      <c r="G48" s="89"/>
      <c r="H48" s="151"/>
      <c r="I48" s="90"/>
      <c r="J48" s="84">
        <f>'Sales Amount'!$F48*'Sales Amount'!$H48</f>
        <v>0</v>
      </c>
      <c r="K48" s="85">
        <f>Table6[[#This Row],[Column8]]+Table6[[#This Row],[Column9]]</f>
        <v>0</v>
      </c>
    </row>
    <row r="49" spans="2:11">
      <c r="B49" s="88"/>
      <c r="C49" s="89"/>
      <c r="D49" s="89"/>
      <c r="E49" s="90"/>
      <c r="F49" s="90"/>
      <c r="G49" s="89"/>
      <c r="H49" s="151"/>
      <c r="I49" s="90"/>
      <c r="J49" s="84">
        <f>'Sales Amount'!$F49*'Sales Amount'!$H49</f>
        <v>0</v>
      </c>
      <c r="K49" s="85">
        <f>Table6[[#This Row],[Column8]]+Table6[[#This Row],[Column9]]</f>
        <v>0</v>
      </c>
    </row>
    <row r="50" spans="2:11">
      <c r="B50" s="88"/>
      <c r="C50" s="89"/>
      <c r="D50" s="89"/>
      <c r="E50" s="90"/>
      <c r="F50" s="90"/>
      <c r="G50" s="89"/>
      <c r="H50" s="151"/>
      <c r="I50" s="90"/>
      <c r="J50" s="84">
        <f>'Sales Amount'!$F50*'Sales Amount'!$H50</f>
        <v>0</v>
      </c>
      <c r="K50" s="85">
        <f>Table6[[#This Row],[Column8]]+Table6[[#This Row],[Column9]]</f>
        <v>0</v>
      </c>
    </row>
    <row r="51" spans="2:11">
      <c r="B51" s="88"/>
      <c r="C51" s="89"/>
      <c r="D51" s="89"/>
      <c r="E51" s="90"/>
      <c r="F51" s="90"/>
      <c r="G51" s="89"/>
      <c r="H51" s="151"/>
      <c r="I51" s="90"/>
      <c r="J51" s="84">
        <f>'Sales Amount'!$F51*'Sales Amount'!$H51</f>
        <v>0</v>
      </c>
      <c r="K51" s="85">
        <f>Table6[[#This Row],[Column8]]+Table6[[#This Row],[Column9]]</f>
        <v>0</v>
      </c>
    </row>
    <row r="52" spans="2:11">
      <c r="B52" s="88"/>
      <c r="C52" s="89"/>
      <c r="D52" s="89"/>
      <c r="E52" s="90"/>
      <c r="F52" s="90"/>
      <c r="G52" s="89"/>
      <c r="H52" s="151"/>
      <c r="I52" s="90"/>
      <c r="J52" s="84">
        <f>'Sales Amount'!$F52*'Sales Amount'!$H52</f>
        <v>0</v>
      </c>
      <c r="K52" s="85">
        <f>Table6[[#This Row],[Column8]]+Table6[[#This Row],[Column9]]</f>
        <v>0</v>
      </c>
    </row>
    <row r="53" spans="2:11">
      <c r="B53" s="88"/>
      <c r="C53" s="89"/>
      <c r="D53" s="89"/>
      <c r="E53" s="90"/>
      <c r="F53" s="90"/>
      <c r="G53" s="89"/>
      <c r="H53" s="151"/>
      <c r="I53" s="90"/>
      <c r="J53" s="84">
        <f>'Sales Amount'!$F53*'Sales Amount'!$H53</f>
        <v>0</v>
      </c>
      <c r="K53" s="85">
        <f>Table6[[#This Row],[Column8]]+Table6[[#This Row],[Column9]]</f>
        <v>0</v>
      </c>
    </row>
    <row r="54" spans="2:11">
      <c r="B54" s="88"/>
      <c r="C54" s="89"/>
      <c r="D54" s="89"/>
      <c r="E54" s="90"/>
      <c r="F54" s="90"/>
      <c r="G54" s="89"/>
      <c r="H54" s="151"/>
      <c r="I54" s="90"/>
      <c r="J54" s="84">
        <f>'Sales Amount'!$F54*'Sales Amount'!$H54</f>
        <v>0</v>
      </c>
      <c r="K54" s="85">
        <f>Table6[[#This Row],[Column8]]+Table6[[#This Row],[Column9]]</f>
        <v>0</v>
      </c>
    </row>
    <row r="55" spans="2:11">
      <c r="B55" s="88"/>
      <c r="C55" s="89"/>
      <c r="D55" s="89"/>
      <c r="E55" s="90"/>
      <c r="F55" s="90"/>
      <c r="G55" s="89"/>
      <c r="H55" s="151"/>
      <c r="I55" s="90"/>
      <c r="J55" s="84">
        <f>'Sales Amount'!$F55*'Sales Amount'!$H55</f>
        <v>0</v>
      </c>
      <c r="K55" s="85">
        <f>Table6[[#This Row],[Column8]]+Table6[[#This Row],[Column9]]</f>
        <v>0</v>
      </c>
    </row>
    <row r="56" spans="2:11">
      <c r="B56" s="88"/>
      <c r="C56" s="89"/>
      <c r="D56" s="89"/>
      <c r="E56" s="90"/>
      <c r="F56" s="90"/>
      <c r="G56" s="89"/>
      <c r="H56" s="151"/>
      <c r="I56" s="90"/>
      <c r="J56" s="84">
        <f>'Sales Amount'!$F56*'Sales Amount'!$H56</f>
        <v>0</v>
      </c>
      <c r="K56" s="85">
        <f>Table6[[#This Row],[Column8]]+Table6[[#This Row],[Column9]]</f>
        <v>0</v>
      </c>
    </row>
    <row r="57" spans="2:11">
      <c r="B57" s="88"/>
      <c r="C57" s="89"/>
      <c r="D57" s="89"/>
      <c r="E57" s="90"/>
      <c r="F57" s="90"/>
      <c r="G57" s="89"/>
      <c r="H57" s="151"/>
      <c r="I57" s="90"/>
      <c r="J57" s="84">
        <f>'Sales Amount'!$F57*'Sales Amount'!$H57</f>
        <v>0</v>
      </c>
      <c r="K57" s="85">
        <f>Table6[[#This Row],[Column8]]+Table6[[#This Row],[Column9]]</f>
        <v>0</v>
      </c>
    </row>
    <row r="58" spans="2:11">
      <c r="B58" s="88"/>
      <c r="C58" s="89"/>
      <c r="D58" s="89"/>
      <c r="E58" s="90"/>
      <c r="F58" s="90"/>
      <c r="G58" s="89"/>
      <c r="H58" s="151"/>
      <c r="I58" s="90"/>
      <c r="J58" s="84">
        <f>'Sales Amount'!$F58*'Sales Amount'!$H58</f>
        <v>0</v>
      </c>
      <c r="K58" s="85">
        <f>Table6[[#This Row],[Column8]]+Table6[[#This Row],[Column9]]</f>
        <v>0</v>
      </c>
    </row>
    <row r="59" spans="2:11">
      <c r="B59" s="88"/>
      <c r="C59" s="89"/>
      <c r="D59" s="89"/>
      <c r="E59" s="90"/>
      <c r="F59" s="90"/>
      <c r="G59" s="89"/>
      <c r="H59" s="151"/>
      <c r="I59" s="90"/>
      <c r="J59" s="84">
        <f>'Sales Amount'!$F59*'Sales Amount'!$H59</f>
        <v>0</v>
      </c>
      <c r="K59" s="85">
        <f>Table6[[#This Row],[Column8]]+Table6[[#This Row],[Column9]]</f>
        <v>0</v>
      </c>
    </row>
    <row r="60" spans="2:11">
      <c r="B60" s="88"/>
      <c r="C60" s="89"/>
      <c r="D60" s="89"/>
      <c r="E60" s="90"/>
      <c r="F60" s="90"/>
      <c r="G60" s="89"/>
      <c r="H60" s="151"/>
      <c r="I60" s="90"/>
      <c r="J60" s="84">
        <f>'Sales Amount'!$F60*'Sales Amount'!$H60</f>
        <v>0</v>
      </c>
      <c r="K60" s="85">
        <f>Table6[[#This Row],[Column8]]+Table6[[#This Row],[Column9]]</f>
        <v>0</v>
      </c>
    </row>
    <row r="61" spans="2:11">
      <c r="B61" s="88"/>
      <c r="C61" s="89"/>
      <c r="D61" s="89"/>
      <c r="E61" s="90"/>
      <c r="F61" s="90"/>
      <c r="G61" s="89"/>
      <c r="H61" s="151"/>
      <c r="I61" s="90"/>
      <c r="J61" s="84">
        <f>'Sales Amount'!$F61*'Sales Amount'!$H61</f>
        <v>0</v>
      </c>
      <c r="K61" s="85">
        <f>Table6[[#This Row],[Column8]]+Table6[[#This Row],[Column9]]</f>
        <v>0</v>
      </c>
    </row>
    <row r="62" spans="2:11">
      <c r="B62" s="88"/>
      <c r="C62" s="89"/>
      <c r="D62" s="89"/>
      <c r="E62" s="90"/>
      <c r="F62" s="90"/>
      <c r="G62" s="89"/>
      <c r="H62" s="151"/>
      <c r="I62" s="90"/>
      <c r="J62" s="84">
        <f>'Sales Amount'!$F62*'Sales Amount'!$H62</f>
        <v>0</v>
      </c>
      <c r="K62" s="85">
        <f>Table6[[#This Row],[Column8]]+Table6[[#This Row],[Column9]]</f>
        <v>0</v>
      </c>
    </row>
    <row r="63" spans="2:11" ht="15" thickBot="1">
      <c r="B63" s="70"/>
      <c r="C63" s="77"/>
      <c r="D63" s="77"/>
      <c r="E63" s="77"/>
      <c r="F63" s="77"/>
      <c r="G63" s="77"/>
      <c r="H63" s="81" t="s">
        <v>182</v>
      </c>
      <c r="I63" s="82">
        <f>SUM(Table6[[#All],[Column8]])</f>
        <v>0</v>
      </c>
      <c r="J63" s="82">
        <f>SUM(Table6[[#All],[Column9]])</f>
        <v>0</v>
      </c>
      <c r="K63" s="83">
        <f>SUM(Table6[[#All],[Column10]])</f>
        <v>0</v>
      </c>
    </row>
  </sheetData>
  <sheetProtection algorithmName="SHA-512" hashValue="rOPUWxyf13kt+Ftg/LkisByPQctNR6GGJZ1N9En3CHmBWcfmB2uAenLLmLrl5UViVMA0ALz6OFoGTKU5vM1sTg==" saltValue="pT7TLtzVZ2EShXO8n5wo9A==" spinCount="100000" sheet="1" insertRows="0" deleteRows="0" autoFilter="0"/>
  <mergeCells count="27"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9595A-273A-4317-BE02-04580CB16DA2}">
  <dimension ref="A1:AT23"/>
  <sheetViews>
    <sheetView workbookViewId="0">
      <selection activeCell="B21" sqref="B21"/>
    </sheetView>
  </sheetViews>
  <sheetFormatPr defaultColWidth="9.1796875" defaultRowHeight="12.5"/>
  <cols>
    <col min="1" max="1" width="29" style="1" bestFit="1" customWidth="1"/>
    <col min="2" max="2" width="66.453125" style="1" bestFit="1" customWidth="1"/>
    <col min="3" max="3" width="7.26953125" style="1" bestFit="1" customWidth="1"/>
    <col min="4" max="4" width="95.453125" style="1" bestFit="1" customWidth="1"/>
    <col min="5" max="6" width="9.1796875" style="1"/>
    <col min="7" max="7" width="14.453125" style="1" bestFit="1" customWidth="1"/>
    <col min="8" max="9" width="9.1796875" style="1"/>
    <col min="10" max="10" width="14" style="1" customWidth="1"/>
    <col min="11" max="20" width="9.1796875" style="1"/>
    <col min="21" max="21" width="14.453125" style="1" bestFit="1" customWidth="1"/>
    <col min="22" max="40" width="9.1796875" style="1"/>
    <col min="41" max="41" width="9.1796875" style="2"/>
    <col min="42" max="43" width="9.1796875" style="1"/>
    <col min="44" max="44" width="13.453125" style="1" bestFit="1" customWidth="1"/>
    <col min="45" max="16384" width="9.1796875" style="1"/>
  </cols>
  <sheetData>
    <row r="1" spans="1:46" ht="13">
      <c r="A1" s="91" t="s">
        <v>18</v>
      </c>
      <c r="B1" s="92" t="s">
        <v>19</v>
      </c>
      <c r="C1" s="93" t="s">
        <v>20</v>
      </c>
      <c r="D1" s="94" t="e">
        <f>_xlfn.TEXTJOIN("-",2,A2,TIPGreen)</f>
        <v>#NAME?</v>
      </c>
      <c r="E1" s="95">
        <v>3.5999999999999997E-2</v>
      </c>
    </row>
    <row r="2" spans="1:46" ht="14.5">
      <c r="A2" s="94" t="s">
        <v>201</v>
      </c>
      <c r="B2" s="94" t="s">
        <v>202</v>
      </c>
      <c r="C2" s="96">
        <v>3.5999999999999997E-2</v>
      </c>
      <c r="D2" s="98" t="str">
        <f>_xlfn.TEXTJOIN("-",2,A3,B3)</f>
        <v>TIP 2015 - 2017-Feature Films</v>
      </c>
      <c r="E2" s="100">
        <v>0.05</v>
      </c>
      <c r="U2" s="3" t="s">
        <v>21</v>
      </c>
      <c r="X2" s="1" t="e" cm="1">
        <f t="array" ref="X2">_xlfn.ANCHORARRAY(_xlfn.XLOOKUP(U2,Level1,Level2Res))</f>
        <v>#NAME?</v>
      </c>
      <c r="AI2" s="1" t="str" cm="1">
        <f t="array" ref="AI2:AI5">_xlfn.UNIQUE(DGRIPA[UseFee])</f>
        <v>All Use</v>
      </c>
      <c r="AO2" s="2" cm="1">
        <f t="array" ref="AO2:AP2">TRANSPOSE(_xlfn.UNIQUE(_xlfn._xlws.FILTER(DGRIPA[DGR],DGRIPA[UseFee]=AI2)))</f>
        <v>3.5999999999999997E-2</v>
      </c>
      <c r="AP2" s="1">
        <v>0.05</v>
      </c>
      <c r="AR2" s="3" t="s">
        <v>22</v>
      </c>
      <c r="AT2" s="1" t="e" cm="1">
        <f t="array" ref="AT2">_xlfn.ANCHORARRAY(_xlfn.XLOOKUP(AR2,Level2,Level3Res))</f>
        <v>#NAME?</v>
      </c>
    </row>
    <row r="3" spans="1:46" ht="14.5">
      <c r="A3" s="98" t="s">
        <v>203</v>
      </c>
      <c r="B3" s="99" t="s">
        <v>204</v>
      </c>
      <c r="C3" s="100">
        <v>0.05</v>
      </c>
      <c r="D3" s="98" t="s">
        <v>208</v>
      </c>
      <c r="E3" s="100">
        <v>3.5999999999999997E-2</v>
      </c>
      <c r="AI3" s="1" t="str">
        <v>Feature Films</v>
      </c>
    </row>
    <row r="4" spans="1:46" ht="14.5">
      <c r="A4" s="4" t="s">
        <v>206</v>
      </c>
      <c r="B4" s="99" t="s">
        <v>205</v>
      </c>
      <c r="C4" s="100">
        <v>3.5999999999999997E-2</v>
      </c>
      <c r="D4" s="4" t="str">
        <f>_xlfn.TEXTJOIN("-",2,DGRIPA[[#This Row],[IPATerm]],B5)</f>
        <v>TIP 2018 - 2020 - Class I-All Use</v>
      </c>
      <c r="E4" s="5">
        <v>0.05</v>
      </c>
      <c r="AI4" s="1" t="str">
        <v>Theatrical, Pay TV, Basic Cable, Free TV and Ancillary revenue</v>
      </c>
    </row>
    <row r="5" spans="1:46" ht="14.5">
      <c r="A5" s="4" t="s">
        <v>207</v>
      </c>
      <c r="B5" s="97" t="s">
        <v>202</v>
      </c>
      <c r="C5" s="5">
        <v>0.05</v>
      </c>
      <c r="D5" s="4" t="s">
        <v>213</v>
      </c>
      <c r="E5" s="5">
        <v>0.05</v>
      </c>
      <c r="AI5" s="1" t="str">
        <v>Theatrical, Pay TV, Basic Cable, Free TV, Ditigal Media and Ancillary revenue</v>
      </c>
    </row>
    <row r="6" spans="1:46" ht="14.5">
      <c r="B6" s="97" t="s">
        <v>212</v>
      </c>
      <c r="C6" s="5">
        <v>0.05</v>
      </c>
      <c r="D6" s="4" t="s">
        <v>209</v>
      </c>
      <c r="E6" s="5">
        <v>3.5999999999999997E-2</v>
      </c>
    </row>
    <row r="7" spans="1:46" ht="14.5">
      <c r="B7" s="97" t="s">
        <v>204</v>
      </c>
      <c r="C7" s="5">
        <v>3.5999999999999997E-2</v>
      </c>
      <c r="D7" s="4" t="s">
        <v>210</v>
      </c>
      <c r="E7" s="5">
        <v>0.05</v>
      </c>
    </row>
    <row r="8" spans="1:46" ht="14.5">
      <c r="D8" s="4" t="s">
        <v>214</v>
      </c>
      <c r="E8" s="5">
        <v>0.05</v>
      </c>
    </row>
    <row r="9" spans="1:46" ht="14.5">
      <c r="D9" s="4" t="s">
        <v>211</v>
      </c>
      <c r="E9" s="5">
        <v>3.5999999999999997E-2</v>
      </c>
    </row>
    <row r="17" spans="1:2" ht="14.5">
      <c r="A17" s="101"/>
      <c r="B17" s="101"/>
    </row>
    <row r="18" spans="1:2" ht="14.5">
      <c r="A18" s="101"/>
      <c r="B18" s="101"/>
    </row>
    <row r="19" spans="1:2" ht="14.5">
      <c r="A19" s="101"/>
      <c r="B19" s="101"/>
    </row>
    <row r="20" spans="1:2" ht="14.5">
      <c r="A20" s="101"/>
      <c r="B20" s="101"/>
    </row>
    <row r="23" spans="1:2">
      <c r="A23" s="102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A7025-05B9-42F4-B56C-064FCD256E67}">
  <dimension ref="A1:H130"/>
  <sheetViews>
    <sheetView topLeftCell="B16" zoomScaleNormal="100" workbookViewId="0">
      <selection activeCell="B126" sqref="A126:XFD126"/>
    </sheetView>
  </sheetViews>
  <sheetFormatPr defaultRowHeight="14.5"/>
  <cols>
    <col min="1" max="1" width="27.1796875" bestFit="1" customWidth="1"/>
    <col min="2" max="2" width="27.1796875" customWidth="1"/>
    <col min="3" max="3" width="96.54296875" bestFit="1" customWidth="1"/>
    <col min="4" max="4" width="7.26953125" bestFit="1" customWidth="1"/>
    <col min="5" max="5" width="110.54296875" bestFit="1" customWidth="1"/>
  </cols>
  <sheetData>
    <row r="1" spans="1:8">
      <c r="A1" s="113" t="s">
        <v>18</v>
      </c>
      <c r="B1" s="149"/>
      <c r="C1" s="114" t="s">
        <v>19</v>
      </c>
      <c r="D1" s="115" t="s">
        <v>20</v>
      </c>
      <c r="E1" t="s">
        <v>254</v>
      </c>
    </row>
    <row r="2" spans="1:8">
      <c r="A2" s="103" t="s">
        <v>21</v>
      </c>
      <c r="B2" s="103" t="s">
        <v>21</v>
      </c>
      <c r="C2" s="104" t="s">
        <v>215</v>
      </c>
      <c r="D2" s="105">
        <v>3.5999999999999997E-2</v>
      </c>
      <c r="E2" s="103" t="str">
        <f>_xlfn.TEXTJOIN("-",2,B2,C2)</f>
        <v>IPA 1995 - 1998-130% Prepayment | Theatrical Productions - 4 consecutive years</v>
      </c>
      <c r="F2" s="105">
        <v>3.5999999999999997E-2</v>
      </c>
      <c r="H2" t="e" cm="1">
        <f t="array" ref="H2">_xlfn.SWITCH('REPORTING FORM'!D5,
    "IPA 1995 - 1998", "Red",
    "IPA 1998 - Extended Aug 1999", "Green",
    "IPA 1999 - 2001", "Blue",
    "IPA 2002 - 2003", "Blue",
    "IPA 2004 - 2006", "Blue",
    "IPA 2007 - 2009", "Yellow",
    "IPA 2010 - 2012", "Yellow",
    "IPA 2013 - 2015", "Grey",
    "IPA 2016 - 2018", "Pink",
    "IPA 2019 - 2021", "Purple",
    "IPA 2022 - 2024", "Orange")</f>
        <v>#N/A</v>
      </c>
    </row>
    <row r="3" spans="1:8">
      <c r="A3" s="108" t="s">
        <v>218</v>
      </c>
      <c r="B3" s="103" t="s">
        <v>21</v>
      </c>
      <c r="C3" s="106" t="s">
        <v>216</v>
      </c>
      <c r="D3" s="105">
        <v>3.5999999999999997E-2</v>
      </c>
      <c r="E3" s="103" t="str">
        <f t="shared" ref="E3:E66" si="0">_xlfn.TEXTJOIN("-",2,B3,C3)</f>
        <v>IPA 1995 - 1998-105% Prepayment | Television and Other Productions - 4 consecutive years</v>
      </c>
      <c r="F3" s="105">
        <v>3.5999999999999997E-2</v>
      </c>
    </row>
    <row r="4" spans="1:8">
      <c r="A4" s="116" t="s">
        <v>221</v>
      </c>
      <c r="B4" s="103" t="s">
        <v>21</v>
      </c>
      <c r="C4" s="107" t="s">
        <v>22</v>
      </c>
      <c r="D4" s="105">
        <v>3.5999999999999997E-2</v>
      </c>
      <c r="E4" s="103" t="str">
        <f t="shared" si="0"/>
        <v>IPA 1995 - 1998-100% Advance</v>
      </c>
      <c r="F4" s="105">
        <v>3.5999999999999997E-2</v>
      </c>
    </row>
    <row r="5" spans="1:8">
      <c r="A5" s="116" t="s">
        <v>222</v>
      </c>
      <c r="B5" s="103" t="s">
        <v>21</v>
      </c>
      <c r="C5" s="107" t="s">
        <v>23</v>
      </c>
      <c r="D5" s="105">
        <v>4.5999999999999999E-2</v>
      </c>
      <c r="E5" s="103" t="str">
        <f t="shared" si="0"/>
        <v>IPA 1995 - 1998-75% Advance</v>
      </c>
      <c r="F5" s="105">
        <v>4.5999999999999999E-2</v>
      </c>
    </row>
    <row r="6" spans="1:8">
      <c r="A6" s="116" t="s">
        <v>223</v>
      </c>
      <c r="B6" s="103" t="s">
        <v>21</v>
      </c>
      <c r="C6" s="107" t="s">
        <v>24</v>
      </c>
      <c r="D6" s="105">
        <v>5.6000000000000001E-2</v>
      </c>
      <c r="E6" s="103" t="str">
        <f t="shared" si="0"/>
        <v>IPA 1995 - 1998-50% Advance</v>
      </c>
      <c r="F6" s="105">
        <v>5.6000000000000001E-2</v>
      </c>
    </row>
    <row r="7" spans="1:8">
      <c r="A7" s="121" t="s">
        <v>224</v>
      </c>
      <c r="B7" s="103" t="s">
        <v>21</v>
      </c>
      <c r="C7" s="107" t="s">
        <v>25</v>
      </c>
      <c r="D7" s="105">
        <v>6.6000000000000003E-2</v>
      </c>
      <c r="E7" s="103" t="str">
        <f t="shared" si="0"/>
        <v>IPA 1995 - 1998-25% Advance</v>
      </c>
      <c r="F7" s="105">
        <v>6.6000000000000003E-2</v>
      </c>
    </row>
    <row r="8" spans="1:8">
      <c r="A8" s="121" t="s">
        <v>228</v>
      </c>
      <c r="B8" s="103" t="s">
        <v>21</v>
      </c>
      <c r="C8" s="107" t="s">
        <v>217</v>
      </c>
      <c r="D8" s="105">
        <v>3.5999999999999997E-2</v>
      </c>
      <c r="E8" s="103" t="str">
        <f t="shared" si="0"/>
        <v>IPA 1995 - 1998-50% Documentary | 5 consecutive years</v>
      </c>
      <c r="F8" s="105">
        <v>3.5999999999999997E-2</v>
      </c>
    </row>
    <row r="9" spans="1:8">
      <c r="A9" s="126" t="s">
        <v>229</v>
      </c>
      <c r="B9" s="108" t="s">
        <v>218</v>
      </c>
      <c r="C9" s="109" t="s">
        <v>219</v>
      </c>
      <c r="D9" s="110">
        <v>3.5999999999999997E-2</v>
      </c>
      <c r="E9" s="108" t="str">
        <f t="shared" si="0"/>
        <v>IPA 1998 - Extended Aug 1999-130% Prepayment | Theatrical Productions - 3 consecutive years</v>
      </c>
      <c r="F9" s="110">
        <v>3.5999999999999997E-2</v>
      </c>
    </row>
    <row r="10" spans="1:8">
      <c r="A10" s="131" t="s">
        <v>232</v>
      </c>
      <c r="B10" s="108" t="s">
        <v>218</v>
      </c>
      <c r="C10" s="109" t="s">
        <v>220</v>
      </c>
      <c r="D10" s="110">
        <v>3.5999999999999997E-2</v>
      </c>
      <c r="E10" s="108" t="str">
        <f t="shared" si="0"/>
        <v>IPA 1998 - Extended Aug 1999-105% Prepayment | Television and Other Productions - 3 consecutive years</v>
      </c>
      <c r="F10" s="110">
        <v>3.5999999999999997E-2</v>
      </c>
    </row>
    <row r="11" spans="1:8">
      <c r="A11" s="136" t="s">
        <v>245</v>
      </c>
      <c r="B11" s="108" t="s">
        <v>218</v>
      </c>
      <c r="C11" s="109" t="s">
        <v>22</v>
      </c>
      <c r="D11" s="110">
        <v>3.5999999999999997E-2</v>
      </c>
      <c r="E11" s="108" t="str">
        <f t="shared" si="0"/>
        <v>IPA 1998 - Extended Aug 1999-100% Advance</v>
      </c>
      <c r="F11" s="110">
        <v>3.5999999999999997E-2</v>
      </c>
    </row>
    <row r="12" spans="1:8">
      <c r="A12" s="141" t="s">
        <v>249</v>
      </c>
      <c r="B12" s="108" t="s">
        <v>218</v>
      </c>
      <c r="C12" s="109" t="s">
        <v>23</v>
      </c>
      <c r="D12" s="110">
        <v>4.5999999999999999E-2</v>
      </c>
      <c r="E12" s="108" t="str">
        <f t="shared" si="0"/>
        <v>IPA 1998 - Extended Aug 1999-75% Advance</v>
      </c>
      <c r="F12" s="110">
        <v>4.5999999999999999E-2</v>
      </c>
    </row>
    <row r="13" spans="1:8">
      <c r="B13" s="108" t="s">
        <v>218</v>
      </c>
      <c r="C13" s="109" t="s">
        <v>24</v>
      </c>
      <c r="D13" s="110">
        <v>5.6000000000000001E-2</v>
      </c>
      <c r="E13" s="108" t="str">
        <f t="shared" si="0"/>
        <v>IPA 1998 - Extended Aug 1999-50% Advance</v>
      </c>
      <c r="F13" s="110">
        <v>5.6000000000000001E-2</v>
      </c>
    </row>
    <row r="14" spans="1:8">
      <c r="B14" s="108" t="s">
        <v>218</v>
      </c>
      <c r="C14" s="109" t="s">
        <v>25</v>
      </c>
      <c r="D14" s="110">
        <v>6.6000000000000003E-2</v>
      </c>
      <c r="E14" s="108" t="str">
        <f t="shared" si="0"/>
        <v>IPA 1998 - Extended Aug 1999-25% Advance</v>
      </c>
      <c r="F14" s="110">
        <v>6.6000000000000003E-2</v>
      </c>
    </row>
    <row r="15" spans="1:8">
      <c r="B15" s="108" t="s">
        <v>218</v>
      </c>
      <c r="C15" s="111" t="s">
        <v>217</v>
      </c>
      <c r="D15" s="112">
        <v>3.5999999999999997E-2</v>
      </c>
      <c r="E15" s="108" t="str">
        <f t="shared" si="0"/>
        <v>IPA 1998 - Extended Aug 1999-50% Documentary | 5 consecutive years</v>
      </c>
      <c r="F15" s="112">
        <v>3.5999999999999997E-2</v>
      </c>
    </row>
    <row r="16" spans="1:8">
      <c r="B16" s="116" t="s">
        <v>221</v>
      </c>
      <c r="C16" s="117" t="s">
        <v>215</v>
      </c>
      <c r="D16" s="118">
        <v>3.5999999999999997E-2</v>
      </c>
      <c r="E16" s="116" t="str">
        <f t="shared" si="0"/>
        <v>IPA 1999 - 2001-130% Prepayment | Theatrical Productions - 4 consecutive years</v>
      </c>
      <c r="F16" s="118">
        <v>3.5999999999999997E-2</v>
      </c>
    </row>
    <row r="17" spans="2:6">
      <c r="B17" s="116" t="s">
        <v>221</v>
      </c>
      <c r="C17" s="119" t="s">
        <v>216</v>
      </c>
      <c r="D17" s="118">
        <v>3.5999999999999997E-2</v>
      </c>
      <c r="E17" s="116" t="str">
        <f t="shared" si="0"/>
        <v>IPA 1999 - 2001-105% Prepayment | Television and Other Productions - 4 consecutive years</v>
      </c>
      <c r="F17" s="118">
        <v>3.5999999999999997E-2</v>
      </c>
    </row>
    <row r="18" spans="2:6">
      <c r="B18" s="116" t="s">
        <v>221</v>
      </c>
      <c r="C18" s="120" t="s">
        <v>22</v>
      </c>
      <c r="D18" s="118">
        <v>3.5999999999999997E-2</v>
      </c>
      <c r="E18" s="116" t="str">
        <f t="shared" si="0"/>
        <v>IPA 1999 - 2001-100% Advance</v>
      </c>
      <c r="F18" s="118">
        <v>3.5999999999999997E-2</v>
      </c>
    </row>
    <row r="19" spans="2:6">
      <c r="B19" s="116" t="s">
        <v>221</v>
      </c>
      <c r="C19" s="120" t="s">
        <v>23</v>
      </c>
      <c r="D19" s="118">
        <v>4.5999999999999999E-2</v>
      </c>
      <c r="E19" s="116" t="str">
        <f t="shared" si="0"/>
        <v>IPA 1999 - 2001-75% Advance</v>
      </c>
      <c r="F19" s="118">
        <v>4.5999999999999999E-2</v>
      </c>
    </row>
    <row r="20" spans="2:6">
      <c r="B20" s="116" t="s">
        <v>221</v>
      </c>
      <c r="C20" s="120" t="s">
        <v>24</v>
      </c>
      <c r="D20" s="118">
        <v>5.6000000000000001E-2</v>
      </c>
      <c r="E20" s="116" t="str">
        <f t="shared" si="0"/>
        <v>IPA 1999 - 2001-50% Advance</v>
      </c>
      <c r="F20" s="118">
        <v>5.6000000000000001E-2</v>
      </c>
    </row>
    <row r="21" spans="2:6">
      <c r="B21" s="116" t="s">
        <v>221</v>
      </c>
      <c r="C21" s="120" t="s">
        <v>25</v>
      </c>
      <c r="D21" s="118">
        <v>6.6000000000000003E-2</v>
      </c>
      <c r="E21" s="116" t="str">
        <f t="shared" si="0"/>
        <v>IPA 1999 - 2001-25% Advance</v>
      </c>
      <c r="F21" s="118">
        <v>6.6000000000000003E-2</v>
      </c>
    </row>
    <row r="22" spans="2:6">
      <c r="B22" s="116" t="s">
        <v>222</v>
      </c>
      <c r="C22" s="120" t="s">
        <v>217</v>
      </c>
      <c r="D22" s="118">
        <v>3.5999999999999997E-2</v>
      </c>
      <c r="E22" s="116" t="str">
        <f t="shared" si="0"/>
        <v>IPA 2002 - 2003-50% Documentary | 5 consecutive years</v>
      </c>
      <c r="F22" s="118">
        <v>3.5999999999999997E-2</v>
      </c>
    </row>
    <row r="23" spans="2:6">
      <c r="B23" s="116" t="s">
        <v>222</v>
      </c>
      <c r="C23" s="117" t="s">
        <v>215</v>
      </c>
      <c r="D23" s="118">
        <v>3.5999999999999997E-2</v>
      </c>
      <c r="E23" s="116" t="str">
        <f t="shared" si="0"/>
        <v>IPA 2002 - 2003-130% Prepayment | Theatrical Productions - 4 consecutive years</v>
      </c>
      <c r="F23" s="118">
        <v>3.5999999999999997E-2</v>
      </c>
    </row>
    <row r="24" spans="2:6">
      <c r="B24" s="116" t="s">
        <v>222</v>
      </c>
      <c r="C24" s="119" t="s">
        <v>216</v>
      </c>
      <c r="D24" s="118">
        <v>3.5999999999999997E-2</v>
      </c>
      <c r="E24" s="116" t="str">
        <f t="shared" si="0"/>
        <v>IPA 2002 - 2003-105% Prepayment | Television and Other Productions - 4 consecutive years</v>
      </c>
      <c r="F24" s="118">
        <v>3.5999999999999997E-2</v>
      </c>
    </row>
    <row r="25" spans="2:6">
      <c r="B25" s="116" t="s">
        <v>222</v>
      </c>
      <c r="C25" s="120" t="s">
        <v>22</v>
      </c>
      <c r="D25" s="118">
        <v>3.5999999999999997E-2</v>
      </c>
      <c r="E25" s="116" t="str">
        <f t="shared" si="0"/>
        <v>IPA 2002 - 2003-100% Advance</v>
      </c>
      <c r="F25" s="118">
        <v>3.5999999999999997E-2</v>
      </c>
    </row>
    <row r="26" spans="2:6">
      <c r="B26" s="116" t="s">
        <v>222</v>
      </c>
      <c r="C26" s="120" t="s">
        <v>23</v>
      </c>
      <c r="D26" s="118">
        <v>4.5999999999999999E-2</v>
      </c>
      <c r="E26" s="116" t="str">
        <f t="shared" si="0"/>
        <v>IPA 2002 - 2003-75% Advance</v>
      </c>
      <c r="F26" s="118">
        <v>4.5999999999999999E-2</v>
      </c>
    </row>
    <row r="27" spans="2:6">
      <c r="B27" s="116" t="s">
        <v>222</v>
      </c>
      <c r="C27" s="120" t="s">
        <v>24</v>
      </c>
      <c r="D27" s="118">
        <v>5.6000000000000001E-2</v>
      </c>
      <c r="E27" s="116" t="str">
        <f t="shared" si="0"/>
        <v>IPA 2002 - 2003-50% Advance</v>
      </c>
      <c r="F27" s="118">
        <v>5.6000000000000001E-2</v>
      </c>
    </row>
    <row r="28" spans="2:6">
      <c r="B28" s="116" t="s">
        <v>222</v>
      </c>
      <c r="C28" s="120" t="s">
        <v>25</v>
      </c>
      <c r="D28" s="118">
        <v>6.6000000000000003E-2</v>
      </c>
      <c r="E28" s="116" t="str">
        <f t="shared" si="0"/>
        <v>IPA 2002 - 2003-25% Advance</v>
      </c>
      <c r="F28" s="118">
        <v>6.6000000000000003E-2</v>
      </c>
    </row>
    <row r="29" spans="2:6">
      <c r="B29" s="116" t="s">
        <v>222</v>
      </c>
      <c r="C29" s="120" t="s">
        <v>217</v>
      </c>
      <c r="D29" s="118">
        <v>3.5999999999999997E-2</v>
      </c>
      <c r="E29" s="116" t="str">
        <f t="shared" si="0"/>
        <v>IPA 2002 - 2003-50% Documentary | 5 consecutive years</v>
      </c>
      <c r="F29" s="118">
        <v>3.5999999999999997E-2</v>
      </c>
    </row>
    <row r="30" spans="2:6">
      <c r="B30" s="116" t="s">
        <v>223</v>
      </c>
      <c r="C30" s="117" t="s">
        <v>215</v>
      </c>
      <c r="D30" s="118">
        <v>3.5999999999999997E-2</v>
      </c>
      <c r="E30" s="116" t="str">
        <f t="shared" si="0"/>
        <v>IPA 2004 - 2006-130% Prepayment | Theatrical Productions - 4 consecutive years</v>
      </c>
      <c r="F30" s="118">
        <v>3.5999999999999997E-2</v>
      </c>
    </row>
    <row r="31" spans="2:6">
      <c r="B31" s="116" t="s">
        <v>223</v>
      </c>
      <c r="C31" s="119" t="s">
        <v>216</v>
      </c>
      <c r="D31" s="118">
        <v>3.5999999999999997E-2</v>
      </c>
      <c r="E31" s="116" t="str">
        <f t="shared" si="0"/>
        <v>IPA 2004 - 2006-105% Prepayment | Television and Other Productions - 4 consecutive years</v>
      </c>
      <c r="F31" s="118">
        <v>3.5999999999999997E-2</v>
      </c>
    </row>
    <row r="32" spans="2:6">
      <c r="B32" s="116" t="s">
        <v>223</v>
      </c>
      <c r="C32" s="120" t="s">
        <v>22</v>
      </c>
      <c r="D32" s="118">
        <v>3.5999999999999997E-2</v>
      </c>
      <c r="E32" s="116" t="str">
        <f t="shared" si="0"/>
        <v>IPA 2004 - 2006-100% Advance</v>
      </c>
      <c r="F32" s="118">
        <v>3.5999999999999997E-2</v>
      </c>
    </row>
    <row r="33" spans="2:6">
      <c r="B33" s="116" t="s">
        <v>223</v>
      </c>
      <c r="C33" s="120" t="s">
        <v>23</v>
      </c>
      <c r="D33" s="118">
        <v>4.5999999999999999E-2</v>
      </c>
      <c r="E33" s="116" t="str">
        <f t="shared" si="0"/>
        <v>IPA 2004 - 2006-75% Advance</v>
      </c>
      <c r="F33" s="118">
        <v>4.5999999999999999E-2</v>
      </c>
    </row>
    <row r="34" spans="2:6">
      <c r="B34" s="116" t="s">
        <v>223</v>
      </c>
      <c r="C34" s="120" t="s">
        <v>24</v>
      </c>
      <c r="D34" s="118">
        <v>5.6000000000000001E-2</v>
      </c>
      <c r="E34" s="116" t="str">
        <f t="shared" si="0"/>
        <v>IPA 2004 - 2006-50% Advance</v>
      </c>
      <c r="F34" s="118">
        <v>5.6000000000000001E-2</v>
      </c>
    </row>
    <row r="35" spans="2:6">
      <c r="B35" s="116" t="s">
        <v>223</v>
      </c>
      <c r="C35" s="120" t="s">
        <v>25</v>
      </c>
      <c r="D35" s="118">
        <v>6.6000000000000003E-2</v>
      </c>
      <c r="E35" s="116" t="str">
        <f t="shared" si="0"/>
        <v>IPA 2004 - 2006-25% Advance</v>
      </c>
      <c r="F35" s="118">
        <v>6.6000000000000003E-2</v>
      </c>
    </row>
    <row r="36" spans="2:6">
      <c r="B36" s="116" t="s">
        <v>223</v>
      </c>
      <c r="C36" s="120" t="s">
        <v>217</v>
      </c>
      <c r="D36" s="118">
        <v>3.5999999999999997E-2</v>
      </c>
      <c r="E36" s="116" t="str">
        <f t="shared" si="0"/>
        <v>IPA 2004 - 2006-50% Documentary | 5 consecutive years</v>
      </c>
      <c r="F36" s="118">
        <v>3.5999999999999997E-2</v>
      </c>
    </row>
    <row r="37" spans="2:6">
      <c r="B37" s="121" t="s">
        <v>224</v>
      </c>
      <c r="C37" s="122" t="s">
        <v>215</v>
      </c>
      <c r="D37" s="123">
        <v>3.5999999999999997E-2</v>
      </c>
      <c r="E37" s="121" t="str">
        <f t="shared" si="0"/>
        <v>IPA 2007 - 2009-130% Prepayment | Theatrical Productions - 4 consecutive years</v>
      </c>
      <c r="F37" s="123">
        <v>3.5999999999999997E-2</v>
      </c>
    </row>
    <row r="38" spans="2:6">
      <c r="B38" s="121" t="s">
        <v>224</v>
      </c>
      <c r="C38" s="124" t="s">
        <v>216</v>
      </c>
      <c r="D38" s="123">
        <v>3.5999999999999997E-2</v>
      </c>
      <c r="E38" s="121" t="str">
        <f t="shared" si="0"/>
        <v>IPA 2007 - 2009-105% Prepayment | Television and Other Productions - 4 consecutive years</v>
      </c>
      <c r="F38" s="123">
        <v>3.5999999999999997E-2</v>
      </c>
    </row>
    <row r="39" spans="2:6">
      <c r="B39" s="121" t="s">
        <v>224</v>
      </c>
      <c r="C39" s="125" t="s">
        <v>22</v>
      </c>
      <c r="D39" s="123">
        <v>3.5999999999999997E-2</v>
      </c>
      <c r="E39" s="121" t="str">
        <f t="shared" si="0"/>
        <v>IPA 2007 - 2009-100% Advance</v>
      </c>
      <c r="F39" s="123">
        <v>3.5999999999999997E-2</v>
      </c>
    </row>
    <row r="40" spans="2:6">
      <c r="B40" s="121" t="s">
        <v>224</v>
      </c>
      <c r="C40" s="125" t="s">
        <v>23</v>
      </c>
      <c r="D40" s="123">
        <v>4.5999999999999999E-2</v>
      </c>
      <c r="E40" s="121" t="str">
        <f t="shared" si="0"/>
        <v>IPA 2007 - 2009-75% Advance</v>
      </c>
      <c r="F40" s="123">
        <v>4.5999999999999999E-2</v>
      </c>
    </row>
    <row r="41" spans="2:6">
      <c r="B41" s="121" t="s">
        <v>224</v>
      </c>
      <c r="C41" s="125" t="s">
        <v>24</v>
      </c>
      <c r="D41" s="123">
        <v>5.6000000000000001E-2</v>
      </c>
      <c r="E41" s="121" t="str">
        <f t="shared" si="0"/>
        <v>IPA 2007 - 2009-50% Advance</v>
      </c>
      <c r="F41" s="123">
        <v>5.6000000000000001E-2</v>
      </c>
    </row>
    <row r="42" spans="2:6">
      <c r="B42" s="121" t="s">
        <v>224</v>
      </c>
      <c r="C42" s="125" t="s">
        <v>25</v>
      </c>
      <c r="D42" s="123">
        <v>6.6000000000000003E-2</v>
      </c>
      <c r="E42" s="121" t="str">
        <f t="shared" si="0"/>
        <v>IPA 2007 - 2009-25% Advance</v>
      </c>
      <c r="F42" s="123">
        <v>6.6000000000000003E-2</v>
      </c>
    </row>
    <row r="43" spans="2:6">
      <c r="B43" s="121" t="s">
        <v>224</v>
      </c>
      <c r="C43" s="125" t="s">
        <v>225</v>
      </c>
      <c r="D43" s="123">
        <v>3.5999999999999997E-2</v>
      </c>
      <c r="E43" s="121" t="str">
        <f t="shared" si="0"/>
        <v>IPA 2007 - 2009-50% Documentary | All uses except Theatrical and New Media - 5 consecutive years</v>
      </c>
      <c r="F43" s="123">
        <v>3.5999999999999997E-2</v>
      </c>
    </row>
    <row r="44" spans="2:6">
      <c r="B44" s="121" t="s">
        <v>224</v>
      </c>
      <c r="C44" s="125" t="s">
        <v>226</v>
      </c>
      <c r="D44" s="123">
        <v>3.5999999999999997E-2</v>
      </c>
      <c r="E44" s="121" t="str">
        <f t="shared" si="0"/>
        <v>IPA 2007 - 2009-50% Fact-base / Lifestyle |all uses except Theatrical and New Media - 4 consecutive years</v>
      </c>
      <c r="F44" s="123">
        <v>3.5999999999999997E-2</v>
      </c>
    </row>
    <row r="45" spans="2:6">
      <c r="B45" s="121" t="s">
        <v>224</v>
      </c>
      <c r="C45" s="125" t="s">
        <v>227</v>
      </c>
      <c r="D45" s="123">
        <v>3.5999999999999997E-2</v>
      </c>
      <c r="E45" s="121" t="str">
        <f t="shared" si="0"/>
        <v>IPA 2007 - 2009-"Made For" New Media Content</v>
      </c>
      <c r="F45" s="123">
        <v>3.5999999999999997E-2</v>
      </c>
    </row>
    <row r="46" spans="2:6">
      <c r="B46" s="121" t="s">
        <v>228</v>
      </c>
      <c r="C46" s="122" t="s">
        <v>215</v>
      </c>
      <c r="D46" s="123">
        <v>3.5999999999999997E-2</v>
      </c>
      <c r="E46" s="121" t="str">
        <f t="shared" si="0"/>
        <v>IPA 2010 - 2012-130% Prepayment | Theatrical Productions - 4 consecutive years</v>
      </c>
      <c r="F46" s="123">
        <v>3.5999999999999997E-2</v>
      </c>
    </row>
    <row r="47" spans="2:6">
      <c r="B47" s="121" t="s">
        <v>228</v>
      </c>
      <c r="C47" s="124" t="s">
        <v>216</v>
      </c>
      <c r="D47" s="123">
        <v>3.5999999999999997E-2</v>
      </c>
      <c r="E47" s="121" t="str">
        <f t="shared" si="0"/>
        <v>IPA 2010 - 2012-105% Prepayment | Television and Other Productions - 4 consecutive years</v>
      </c>
      <c r="F47" s="123">
        <v>3.5999999999999997E-2</v>
      </c>
    </row>
    <row r="48" spans="2:6">
      <c r="B48" s="121" t="s">
        <v>228</v>
      </c>
      <c r="C48" s="125" t="s">
        <v>22</v>
      </c>
      <c r="D48" s="123">
        <v>3.5999999999999997E-2</v>
      </c>
      <c r="E48" s="121" t="str">
        <f t="shared" si="0"/>
        <v>IPA 2010 - 2012-100% Advance</v>
      </c>
      <c r="F48" s="123">
        <v>3.5999999999999997E-2</v>
      </c>
    </row>
    <row r="49" spans="2:6">
      <c r="B49" s="121" t="s">
        <v>228</v>
      </c>
      <c r="C49" s="125" t="s">
        <v>23</v>
      </c>
      <c r="D49" s="123">
        <v>4.5999999999999999E-2</v>
      </c>
      <c r="E49" s="121" t="str">
        <f t="shared" si="0"/>
        <v>IPA 2010 - 2012-75% Advance</v>
      </c>
      <c r="F49" s="123">
        <v>4.5999999999999999E-2</v>
      </c>
    </row>
    <row r="50" spans="2:6">
      <c r="B50" s="121" t="s">
        <v>228</v>
      </c>
      <c r="C50" s="125" t="s">
        <v>24</v>
      </c>
      <c r="D50" s="123">
        <v>5.6000000000000001E-2</v>
      </c>
      <c r="E50" s="121" t="str">
        <f t="shared" si="0"/>
        <v>IPA 2010 - 2012-50% Advance</v>
      </c>
      <c r="F50" s="123">
        <v>5.6000000000000001E-2</v>
      </c>
    </row>
    <row r="51" spans="2:6">
      <c r="B51" s="121" t="s">
        <v>228</v>
      </c>
      <c r="C51" s="125" t="s">
        <v>25</v>
      </c>
      <c r="D51" s="123">
        <v>6.6000000000000003E-2</v>
      </c>
      <c r="E51" s="121" t="str">
        <f t="shared" si="0"/>
        <v>IPA 2010 - 2012-25% Advance</v>
      </c>
      <c r="F51" s="123">
        <v>6.6000000000000003E-2</v>
      </c>
    </row>
    <row r="52" spans="2:6">
      <c r="B52" s="121" t="s">
        <v>228</v>
      </c>
      <c r="C52" s="125" t="s">
        <v>225</v>
      </c>
      <c r="D52" s="123">
        <v>3.5999999999999997E-2</v>
      </c>
      <c r="E52" s="121" t="str">
        <f t="shared" si="0"/>
        <v>IPA 2010 - 2012-50% Documentary | All uses except Theatrical and New Media - 5 consecutive years</v>
      </c>
      <c r="F52" s="123">
        <v>3.5999999999999997E-2</v>
      </c>
    </row>
    <row r="53" spans="2:6">
      <c r="B53" s="121" t="s">
        <v>228</v>
      </c>
      <c r="C53" s="125" t="s">
        <v>226</v>
      </c>
      <c r="D53" s="123">
        <v>3.5999999999999997E-2</v>
      </c>
      <c r="E53" s="121" t="str">
        <f t="shared" si="0"/>
        <v>IPA 2010 - 2012-50% Fact-base / Lifestyle |all uses except Theatrical and New Media - 4 consecutive years</v>
      </c>
      <c r="F53" s="123">
        <v>3.5999999999999997E-2</v>
      </c>
    </row>
    <row r="54" spans="2:6">
      <c r="B54" s="121" t="s">
        <v>228</v>
      </c>
      <c r="C54" s="125" t="s">
        <v>227</v>
      </c>
      <c r="D54" s="123">
        <v>3.5999999999999997E-2</v>
      </c>
      <c r="E54" s="121" t="str">
        <f t="shared" si="0"/>
        <v>IPA 2010 - 2012-"Made For" New Media Content</v>
      </c>
      <c r="F54" s="123">
        <v>3.5999999999999997E-2</v>
      </c>
    </row>
    <row r="55" spans="2:6">
      <c r="B55" s="126" t="s">
        <v>229</v>
      </c>
      <c r="C55" s="127" t="s">
        <v>215</v>
      </c>
      <c r="D55" s="128">
        <v>3.5999999999999997E-2</v>
      </c>
      <c r="E55" s="126" t="str">
        <f t="shared" si="0"/>
        <v>IPA 2013 - 2015-130% Prepayment | Theatrical Productions - 4 consecutive years</v>
      </c>
      <c r="F55" s="128">
        <v>3.5999999999999997E-2</v>
      </c>
    </row>
    <row r="56" spans="2:6">
      <c r="B56" s="126" t="s">
        <v>229</v>
      </c>
      <c r="C56" s="129" t="s">
        <v>216</v>
      </c>
      <c r="D56" s="128">
        <v>3.5999999999999997E-2</v>
      </c>
      <c r="E56" s="126" t="str">
        <f t="shared" si="0"/>
        <v>IPA 2013 - 2015-105% Prepayment | Television and Other Productions - 4 consecutive years</v>
      </c>
      <c r="F56" s="128">
        <v>3.5999999999999997E-2</v>
      </c>
    </row>
    <row r="57" spans="2:6">
      <c r="B57" s="126" t="s">
        <v>229</v>
      </c>
      <c r="C57" s="130" t="s">
        <v>230</v>
      </c>
      <c r="D57" s="128">
        <v>3.5999999999999997E-2</v>
      </c>
      <c r="E57" s="126" t="str">
        <f t="shared" si="0"/>
        <v>IPA 2013 - 2015-200% Prepayment | Animation - All Media - 10 consecutive years</v>
      </c>
      <c r="F57" s="128">
        <v>3.5999999999999997E-2</v>
      </c>
    </row>
    <row r="58" spans="2:6">
      <c r="B58" s="126" t="s">
        <v>229</v>
      </c>
      <c r="C58" s="130" t="s">
        <v>22</v>
      </c>
      <c r="D58" s="128">
        <v>3.5999999999999997E-2</v>
      </c>
      <c r="E58" s="126" t="str">
        <f t="shared" si="0"/>
        <v>IPA 2013 - 2015-100% Advance</v>
      </c>
      <c r="F58" s="128">
        <v>3.5999999999999997E-2</v>
      </c>
    </row>
    <row r="59" spans="2:6">
      <c r="B59" s="126" t="s">
        <v>229</v>
      </c>
      <c r="C59" s="130" t="s">
        <v>23</v>
      </c>
      <c r="D59" s="128">
        <v>4.5999999999999999E-2</v>
      </c>
      <c r="E59" s="126" t="str">
        <f t="shared" si="0"/>
        <v>IPA 2013 - 2015-75% Advance</v>
      </c>
      <c r="F59" s="128">
        <v>4.5999999999999999E-2</v>
      </c>
    </row>
    <row r="60" spans="2:6">
      <c r="B60" s="126" t="s">
        <v>229</v>
      </c>
      <c r="C60" s="130" t="s">
        <v>24</v>
      </c>
      <c r="D60" s="128">
        <v>5.6000000000000001E-2</v>
      </c>
      <c r="E60" s="126" t="str">
        <f t="shared" si="0"/>
        <v>IPA 2013 - 2015-50% Advance</v>
      </c>
      <c r="F60" s="128">
        <v>5.6000000000000001E-2</v>
      </c>
    </row>
    <row r="61" spans="2:6">
      <c r="B61" s="126" t="s">
        <v>229</v>
      </c>
      <c r="C61" s="130" t="s">
        <v>25</v>
      </c>
      <c r="D61" s="128">
        <v>6.6000000000000003E-2</v>
      </c>
      <c r="E61" s="126" t="str">
        <f t="shared" si="0"/>
        <v>IPA 2013 - 2015-25% Advance</v>
      </c>
      <c r="F61" s="128">
        <v>6.6000000000000003E-2</v>
      </c>
    </row>
    <row r="62" spans="2:6">
      <c r="B62" s="126" t="s">
        <v>229</v>
      </c>
      <c r="C62" s="130" t="s">
        <v>225</v>
      </c>
      <c r="D62" s="128">
        <v>3.5999999999999997E-2</v>
      </c>
      <c r="E62" s="126" t="str">
        <f t="shared" si="0"/>
        <v>IPA 2013 - 2015-50% Documentary | All uses except Theatrical and New Media - 5 consecutive years</v>
      </c>
      <c r="F62" s="128">
        <v>3.5999999999999997E-2</v>
      </c>
    </row>
    <row r="63" spans="2:6">
      <c r="B63" s="126" t="s">
        <v>229</v>
      </c>
      <c r="C63" s="130" t="s">
        <v>231</v>
      </c>
      <c r="D63" s="128">
        <v>3.5999999999999997E-2</v>
      </c>
      <c r="E63" s="126" t="str">
        <f t="shared" si="0"/>
        <v>IPA 2013 - 2015-50% Fact-base / Lifestyle | All uses except Theatrical and New Media - 4 consecutive years</v>
      </c>
      <c r="F63" s="128">
        <v>3.5999999999999997E-2</v>
      </c>
    </row>
    <row r="64" spans="2:6">
      <c r="B64" s="126" t="s">
        <v>229</v>
      </c>
      <c r="C64" s="130" t="s">
        <v>227</v>
      </c>
      <c r="D64" s="128">
        <v>3.5999999999999997E-2</v>
      </c>
      <c r="E64" s="126" t="str">
        <f t="shared" si="0"/>
        <v>IPA 2013 - 2015-"Made For" New Media Content</v>
      </c>
      <c r="F64" s="128">
        <v>3.5999999999999997E-2</v>
      </c>
    </row>
    <row r="65" spans="2:6">
      <c r="B65" s="131" t="s">
        <v>232</v>
      </c>
      <c r="C65" s="132" t="s">
        <v>233</v>
      </c>
      <c r="D65" s="133">
        <v>3.5999999999999997E-2</v>
      </c>
      <c r="E65" s="131" t="str">
        <f t="shared" si="0"/>
        <v>IPA 2016 - 2018-135% Prepayment | All Use Including New Media - 4 consecutive years</v>
      </c>
      <c r="F65" s="133">
        <v>3.5999999999999997E-2</v>
      </c>
    </row>
    <row r="66" spans="2:6">
      <c r="B66" s="131" t="s">
        <v>232</v>
      </c>
      <c r="C66" s="134" t="s">
        <v>234</v>
      </c>
      <c r="D66" s="133">
        <v>3.5999999999999997E-2</v>
      </c>
      <c r="E66" s="131" t="str">
        <f t="shared" si="0"/>
        <v>IPA 2016 - 2018-130% Prepayment | Conventional excluding New Media - 4 consecutive years</v>
      </c>
      <c r="F66" s="133">
        <v>3.5999999999999997E-2</v>
      </c>
    </row>
    <row r="67" spans="2:6">
      <c r="B67" s="131" t="s">
        <v>232</v>
      </c>
      <c r="C67" s="134" t="s">
        <v>235</v>
      </c>
      <c r="D67" s="133">
        <v>3.5999999999999997E-2</v>
      </c>
      <c r="E67" s="131" t="str">
        <f t="shared" ref="E67:E130" si="1">_xlfn.TEXTJOIN("-",2,B67,C67)</f>
        <v>IPA 2016 - 2018-110% Prepayment | All Use Including New Media - 4 consecutive years</v>
      </c>
      <c r="F67" s="133">
        <v>3.5999999999999997E-2</v>
      </c>
    </row>
    <row r="68" spans="2:6">
      <c r="B68" s="131" t="s">
        <v>232</v>
      </c>
      <c r="C68" s="134" t="s">
        <v>236</v>
      </c>
      <c r="D68" s="133">
        <v>3.5999999999999997E-2</v>
      </c>
      <c r="E68" s="131" t="str">
        <f t="shared" si="1"/>
        <v>IPA 2016 - 2018-105% Prepayment | Conventional  excluding New Media - 4 consecutive years</v>
      </c>
      <c r="F68" s="133">
        <v>3.5999999999999997E-2</v>
      </c>
    </row>
    <row r="69" spans="2:6">
      <c r="B69" s="131" t="s">
        <v>232</v>
      </c>
      <c r="C69" s="135" t="s">
        <v>237</v>
      </c>
      <c r="D69" s="133">
        <v>3.5999999999999997E-2</v>
      </c>
      <c r="E69" s="131" t="str">
        <f t="shared" si="1"/>
        <v>IPA 2016 - 2018-105% New Media Use Tier A or B - 4 consecutive years</v>
      </c>
      <c r="F69" s="133">
        <v>3.5999999999999997E-2</v>
      </c>
    </row>
    <row r="70" spans="2:6">
      <c r="B70" s="131" t="s">
        <v>232</v>
      </c>
      <c r="C70" s="135" t="s">
        <v>238</v>
      </c>
      <c r="D70" s="133">
        <v>3.5999999999999997E-2</v>
      </c>
      <c r="E70" s="131" t="str">
        <f t="shared" si="1"/>
        <v xml:space="preserve">IPA 2016 - 2018-New Media | Tier A or B - No Prepayment elected </v>
      </c>
      <c r="F70" s="133">
        <v>3.5999999999999997E-2</v>
      </c>
    </row>
    <row r="71" spans="2:6">
      <c r="B71" s="131" t="s">
        <v>232</v>
      </c>
      <c r="C71" s="135" t="s">
        <v>239</v>
      </c>
      <c r="D71" s="133">
        <v>0.08</v>
      </c>
      <c r="E71" s="131" t="str">
        <f t="shared" si="1"/>
        <v>IPA 2016 - 2018-105% New Media Use Tier C or D - 4 consecutive years</v>
      </c>
      <c r="F71" s="133">
        <v>0.08</v>
      </c>
    </row>
    <row r="72" spans="2:6">
      <c r="B72" s="131" t="s">
        <v>232</v>
      </c>
      <c r="C72" s="135" t="s">
        <v>240</v>
      </c>
      <c r="D72" s="133">
        <v>0.08</v>
      </c>
      <c r="E72" s="131" t="str">
        <f t="shared" si="1"/>
        <v>IPA 2016 - 2018-New Media | Tier C or D  - No Prepayment elected</v>
      </c>
      <c r="F72" s="133">
        <v>0.08</v>
      </c>
    </row>
    <row r="73" spans="2:6">
      <c r="B73" s="131" t="s">
        <v>232</v>
      </c>
      <c r="C73" s="135" t="s">
        <v>22</v>
      </c>
      <c r="D73" s="133">
        <v>3.5999999999999997E-2</v>
      </c>
      <c r="E73" s="131" t="str">
        <f t="shared" si="1"/>
        <v>IPA 2016 - 2018-100% Advance</v>
      </c>
      <c r="F73" s="133">
        <v>3.5999999999999997E-2</v>
      </c>
    </row>
    <row r="74" spans="2:6">
      <c r="B74" s="131" t="s">
        <v>232</v>
      </c>
      <c r="C74" s="135" t="s">
        <v>23</v>
      </c>
      <c r="D74" s="133">
        <v>4.5999999999999999E-2</v>
      </c>
      <c r="E74" s="131" t="str">
        <f t="shared" si="1"/>
        <v>IPA 2016 - 2018-75% Advance</v>
      </c>
      <c r="F74" s="133">
        <v>4.5999999999999999E-2</v>
      </c>
    </row>
    <row r="75" spans="2:6">
      <c r="B75" s="131" t="s">
        <v>232</v>
      </c>
      <c r="C75" s="135" t="s">
        <v>24</v>
      </c>
      <c r="D75" s="133">
        <v>5.6000000000000001E-2</v>
      </c>
      <c r="E75" s="131" t="str">
        <f t="shared" si="1"/>
        <v>IPA 2016 - 2018-50% Advance</v>
      </c>
      <c r="F75" s="133">
        <v>5.6000000000000001E-2</v>
      </c>
    </row>
    <row r="76" spans="2:6">
      <c r="B76" s="131" t="s">
        <v>232</v>
      </c>
      <c r="C76" s="135" t="s">
        <v>25</v>
      </c>
      <c r="D76" s="133">
        <v>6.6000000000000003E-2</v>
      </c>
      <c r="E76" s="131" t="str">
        <f t="shared" si="1"/>
        <v>IPA 2016 - 2018-25% Advance</v>
      </c>
      <c r="F76" s="133">
        <v>6.6000000000000003E-2</v>
      </c>
    </row>
    <row r="77" spans="2:6">
      <c r="B77" s="131" t="s">
        <v>232</v>
      </c>
      <c r="C77" s="135" t="s">
        <v>241</v>
      </c>
      <c r="D77" s="133">
        <v>3.5999999999999997E-2</v>
      </c>
      <c r="E77" s="131" t="str">
        <f t="shared" si="1"/>
        <v>IPA 2016 - 2018-205% Prepayment | Animation - All Media including New Media - 10 consecutive years</v>
      </c>
      <c r="F77" s="133">
        <v>3.5999999999999997E-2</v>
      </c>
    </row>
    <row r="78" spans="2:6">
      <c r="B78" s="131" t="s">
        <v>232</v>
      </c>
      <c r="C78" s="132" t="s">
        <v>242</v>
      </c>
      <c r="D78" s="133">
        <v>3.5999999999999997E-2</v>
      </c>
      <c r="E78" s="131" t="str">
        <f t="shared" si="1"/>
        <v>IPA 2016 - 2018-200% Prepayment | Animation - Excluding New Media - 10 consecutive years</v>
      </c>
      <c r="F78" s="133">
        <v>3.5999999999999997E-2</v>
      </c>
    </row>
    <row r="79" spans="2:6">
      <c r="B79" s="131" t="s">
        <v>232</v>
      </c>
      <c r="C79" s="135" t="s">
        <v>243</v>
      </c>
      <c r="D79" s="133">
        <v>3.5999999999999997E-2</v>
      </c>
      <c r="E79" s="131" t="str">
        <f t="shared" si="1"/>
        <v>IPA 2016 - 2018-55% Documentary | All uses except Theatrical, including New Media - 5 consecutive years</v>
      </c>
      <c r="F79" s="133">
        <v>3.5999999999999997E-2</v>
      </c>
    </row>
    <row r="80" spans="2:6">
      <c r="B80" s="131" t="s">
        <v>232</v>
      </c>
      <c r="C80" s="135" t="s">
        <v>225</v>
      </c>
      <c r="D80" s="133">
        <v>3.5999999999999997E-2</v>
      </c>
      <c r="E80" s="131" t="str">
        <f t="shared" si="1"/>
        <v>IPA 2016 - 2018-50% Documentary | All uses except Theatrical and New Media - 5 consecutive years</v>
      </c>
      <c r="F80" s="133">
        <v>3.5999999999999997E-2</v>
      </c>
    </row>
    <row r="81" spans="2:6">
      <c r="B81" s="131" t="s">
        <v>232</v>
      </c>
      <c r="C81" s="135" t="s">
        <v>244</v>
      </c>
      <c r="D81" s="133">
        <v>3.5999999999999997E-2</v>
      </c>
      <c r="E81" s="131" t="str">
        <f t="shared" si="1"/>
        <v>IPA 2016 - 2018-55% Fact-base / Lifestyle | All uses except Theatrical, including New Media - 4 consecutive years</v>
      </c>
      <c r="F81" s="133">
        <v>3.5999999999999997E-2</v>
      </c>
    </row>
    <row r="82" spans="2:6">
      <c r="B82" s="131" t="s">
        <v>232</v>
      </c>
      <c r="C82" s="135" t="s">
        <v>231</v>
      </c>
      <c r="D82" s="133">
        <v>3.5999999999999997E-2</v>
      </c>
      <c r="E82" s="131" t="str">
        <f t="shared" si="1"/>
        <v>IPA 2016 - 2018-50% Fact-base / Lifestyle | All uses except Theatrical and New Media - 4 consecutive years</v>
      </c>
      <c r="F82" s="133">
        <v>3.5999999999999997E-2</v>
      </c>
    </row>
    <row r="83" spans="2:6">
      <c r="B83" s="136" t="s">
        <v>245</v>
      </c>
      <c r="C83" s="137" t="s">
        <v>233</v>
      </c>
      <c r="D83" s="138">
        <v>3.5999999999999997E-2</v>
      </c>
      <c r="E83" s="136" t="str">
        <f t="shared" si="1"/>
        <v>IPA 2019 - 2021-135% Prepayment | All Use Including New Media - 4 consecutive years</v>
      </c>
      <c r="F83" s="138">
        <v>3.5999999999999997E-2</v>
      </c>
    </row>
    <row r="84" spans="2:6">
      <c r="B84" s="136" t="s">
        <v>245</v>
      </c>
      <c r="C84" s="139" t="s">
        <v>246</v>
      </c>
      <c r="D84" s="138">
        <v>3.5999999999999997E-2</v>
      </c>
      <c r="E84" s="136" t="str">
        <f t="shared" si="1"/>
        <v>IPA 2019 - 2021-130% Prepayment | Conventional  excluding New Media - 4 consecutive years</v>
      </c>
      <c r="F84" s="138">
        <v>3.5999999999999997E-2</v>
      </c>
    </row>
    <row r="85" spans="2:6">
      <c r="B85" s="136" t="s">
        <v>245</v>
      </c>
      <c r="C85" s="139" t="s">
        <v>235</v>
      </c>
      <c r="D85" s="138">
        <v>3.5999999999999997E-2</v>
      </c>
      <c r="E85" s="136" t="str">
        <f t="shared" si="1"/>
        <v>IPA 2019 - 2021-110% Prepayment | All Use Including New Media - 4 consecutive years</v>
      </c>
      <c r="F85" s="138">
        <v>3.5999999999999997E-2</v>
      </c>
    </row>
    <row r="86" spans="2:6">
      <c r="B86" s="136" t="s">
        <v>245</v>
      </c>
      <c r="C86" s="139" t="s">
        <v>236</v>
      </c>
      <c r="D86" s="138">
        <v>3.5999999999999997E-2</v>
      </c>
      <c r="E86" s="136" t="str">
        <f t="shared" si="1"/>
        <v>IPA 2019 - 2021-105% Prepayment | Conventional  excluding New Media - 4 consecutive years</v>
      </c>
      <c r="F86" s="138">
        <v>3.5999999999999997E-2</v>
      </c>
    </row>
    <row r="87" spans="2:6">
      <c r="B87" s="136" t="s">
        <v>245</v>
      </c>
      <c r="C87" s="140" t="s">
        <v>247</v>
      </c>
      <c r="D87" s="138">
        <v>3.5999999999999997E-2</v>
      </c>
      <c r="E87" s="136" t="str">
        <f t="shared" si="1"/>
        <v>IPA 2019 - 2021-105% New Media Use | Tier A or B - 4 consecutive years</v>
      </c>
      <c r="F87" s="138">
        <v>3.5999999999999997E-2</v>
      </c>
    </row>
    <row r="88" spans="2:6">
      <c r="B88" s="136" t="s">
        <v>245</v>
      </c>
      <c r="C88" s="140" t="s">
        <v>238</v>
      </c>
      <c r="D88" s="138">
        <v>3.5999999999999997E-2</v>
      </c>
      <c r="E88" s="136" t="str">
        <f t="shared" si="1"/>
        <v xml:space="preserve">IPA 2019 - 2021-New Media | Tier A or B - No Prepayment elected </v>
      </c>
      <c r="F88" s="138">
        <v>3.5999999999999997E-2</v>
      </c>
    </row>
    <row r="89" spans="2:6">
      <c r="B89" s="136" t="s">
        <v>245</v>
      </c>
      <c r="C89" s="140" t="s">
        <v>248</v>
      </c>
      <c r="D89" s="138">
        <v>0.08</v>
      </c>
      <c r="E89" s="136" t="str">
        <f t="shared" si="1"/>
        <v>IPA 2019 - 2021-105% New Media Use | Tier C or D - 4 consecutive years</v>
      </c>
      <c r="F89" s="138">
        <v>0.08</v>
      </c>
    </row>
    <row r="90" spans="2:6">
      <c r="B90" s="136" t="s">
        <v>245</v>
      </c>
      <c r="C90" s="140" t="s">
        <v>240</v>
      </c>
      <c r="D90" s="138">
        <v>0.08</v>
      </c>
      <c r="E90" s="136" t="str">
        <f t="shared" si="1"/>
        <v>IPA 2019 - 2021-New Media | Tier C or D  - No Prepayment elected</v>
      </c>
      <c r="F90" s="138">
        <v>0.08</v>
      </c>
    </row>
    <row r="91" spans="2:6">
      <c r="B91" s="136" t="s">
        <v>245</v>
      </c>
      <c r="C91" s="140" t="s">
        <v>22</v>
      </c>
      <c r="D91" s="138">
        <v>3.5999999999999997E-2</v>
      </c>
      <c r="E91" s="136" t="str">
        <f t="shared" si="1"/>
        <v>IPA 2019 - 2021-100% Advance</v>
      </c>
      <c r="F91" s="138">
        <v>3.5999999999999997E-2</v>
      </c>
    </row>
    <row r="92" spans="2:6">
      <c r="B92" s="136" t="s">
        <v>245</v>
      </c>
      <c r="C92" s="140" t="s">
        <v>23</v>
      </c>
      <c r="D92" s="138">
        <v>4.5999999999999999E-2</v>
      </c>
      <c r="E92" s="136" t="str">
        <f t="shared" si="1"/>
        <v>IPA 2019 - 2021-75% Advance</v>
      </c>
      <c r="F92" s="138">
        <v>4.5999999999999999E-2</v>
      </c>
    </row>
    <row r="93" spans="2:6">
      <c r="B93" s="136" t="s">
        <v>245</v>
      </c>
      <c r="C93" s="140" t="s">
        <v>24</v>
      </c>
      <c r="D93" s="138">
        <v>5.6000000000000001E-2</v>
      </c>
      <c r="E93" s="136" t="str">
        <f t="shared" si="1"/>
        <v>IPA 2019 - 2021-50% Advance</v>
      </c>
      <c r="F93" s="138">
        <v>5.6000000000000001E-2</v>
      </c>
    </row>
    <row r="94" spans="2:6">
      <c r="B94" s="136" t="s">
        <v>245</v>
      </c>
      <c r="C94" s="140" t="s">
        <v>25</v>
      </c>
      <c r="D94" s="138">
        <v>6.6000000000000003E-2</v>
      </c>
      <c r="E94" s="136" t="str">
        <f t="shared" si="1"/>
        <v>IPA 2019 - 2021-25% Advance</v>
      </c>
      <c r="F94" s="138">
        <v>6.6000000000000003E-2</v>
      </c>
    </row>
    <row r="95" spans="2:6">
      <c r="B95" s="136" t="s">
        <v>245</v>
      </c>
      <c r="C95" s="140" t="s">
        <v>250</v>
      </c>
      <c r="D95" s="138">
        <v>3.5999999999999997E-2</v>
      </c>
      <c r="E95" s="136" t="str">
        <f t="shared" si="1"/>
        <v>IPA 2019 - 2021-200% Prepayment | Animation - Conventional Use except New Media - 10 consecutive years</v>
      </c>
      <c r="F95" s="138">
        <v>3.5999999999999997E-2</v>
      </c>
    </row>
    <row r="96" spans="2:6">
      <c r="B96" s="136" t="s">
        <v>245</v>
      </c>
      <c r="C96" s="137" t="s">
        <v>251</v>
      </c>
      <c r="D96" s="138">
        <v>0</v>
      </c>
      <c r="E96" s="136" t="str">
        <f t="shared" si="1"/>
        <v>IPA 2019 - 2021-200% Prepayment | Animation - Conventional Use excluding Theatrical and New Media - Perpetuity</v>
      </c>
      <c r="F96" s="138">
        <v>0</v>
      </c>
    </row>
    <row r="97" spans="2:6">
      <c r="B97" s="136" t="s">
        <v>245</v>
      </c>
      <c r="C97" s="137" t="s">
        <v>263</v>
      </c>
      <c r="D97" s="138">
        <v>3.5999999999999997E-2</v>
      </c>
      <c r="E97" s="136" t="str">
        <f t="shared" si="1"/>
        <v>IPA 2019 - 2021-205% Prepayment | Animation - All Use including New Media - 10 consecutive years</v>
      </c>
      <c r="F97" s="138">
        <v>3.5999999999999997E-2</v>
      </c>
    </row>
    <row r="98" spans="2:6">
      <c r="B98" s="136" t="s">
        <v>245</v>
      </c>
      <c r="C98" s="137" t="s">
        <v>264</v>
      </c>
      <c r="D98" s="138">
        <v>0</v>
      </c>
      <c r="E98" s="136" t="str">
        <f t="shared" si="1"/>
        <v>IPA 2019 - 2021-205% Prepayment | Animation - All Use including New Media, excluding Theatrical - Perpetuity</v>
      </c>
      <c r="F98" s="138">
        <v>0</v>
      </c>
    </row>
    <row r="99" spans="2:6">
      <c r="B99" s="136" t="s">
        <v>245</v>
      </c>
      <c r="C99" s="137" t="s">
        <v>252</v>
      </c>
      <c r="D99" s="138">
        <v>0</v>
      </c>
      <c r="E99" s="136" t="str">
        <f t="shared" si="1"/>
        <v>IPA 2019 - 2021-215% Prepayment | Animation - Conventional Use excluding New Media | Less than 60 mins - Perpetuity</v>
      </c>
      <c r="F99" s="138">
        <v>0</v>
      </c>
    </row>
    <row r="100" spans="2:6">
      <c r="B100" s="136" t="s">
        <v>245</v>
      </c>
      <c r="C100" s="137" t="s">
        <v>253</v>
      </c>
      <c r="D100" s="138">
        <v>0</v>
      </c>
      <c r="E100" s="136" t="str">
        <f t="shared" si="1"/>
        <v>IPA 2019 - 2021-235% Prepayment | Animation - Conventional Use excluding New Media | Greater than 60 mins - Perpetuity</v>
      </c>
      <c r="F100" s="138">
        <v>0</v>
      </c>
    </row>
    <row r="101" spans="2:6">
      <c r="B101" s="136" t="s">
        <v>245</v>
      </c>
      <c r="C101" s="137" t="s">
        <v>265</v>
      </c>
      <c r="D101" s="138">
        <v>0</v>
      </c>
      <c r="E101" s="136" t="str">
        <f t="shared" si="1"/>
        <v>IPA 2019 - 2021-220% Prepayment | Animation - All Use including New Media | Less than 60 mins - Perpetuity</v>
      </c>
      <c r="F101" s="138">
        <v>0</v>
      </c>
    </row>
    <row r="102" spans="2:6">
      <c r="B102" s="136" t="s">
        <v>245</v>
      </c>
      <c r="C102" s="137" t="s">
        <v>266</v>
      </c>
      <c r="D102" s="138">
        <v>0</v>
      </c>
      <c r="E102" s="136" t="str">
        <f t="shared" si="1"/>
        <v>IPA 2019 - 2021-240% Prepayment | Animation - All Use including New Media | Greater than 60 mins - Perpetuity</v>
      </c>
      <c r="F102" s="138">
        <v>0</v>
      </c>
    </row>
    <row r="103" spans="2:6">
      <c r="B103" s="136" t="s">
        <v>245</v>
      </c>
      <c r="C103" s="140" t="s">
        <v>243</v>
      </c>
      <c r="D103" s="138">
        <v>3.5999999999999997E-2</v>
      </c>
      <c r="E103" s="136" t="str">
        <f t="shared" si="1"/>
        <v>IPA 2019 - 2021-55% Documentary | All uses except Theatrical, including New Media - 5 consecutive years</v>
      </c>
      <c r="F103" s="138">
        <v>3.5999999999999997E-2</v>
      </c>
    </row>
    <row r="104" spans="2:6">
      <c r="B104" s="136" t="s">
        <v>245</v>
      </c>
      <c r="C104" s="140" t="s">
        <v>225</v>
      </c>
      <c r="D104" s="138">
        <v>3.5999999999999997E-2</v>
      </c>
      <c r="E104" s="136" t="str">
        <f t="shared" si="1"/>
        <v>IPA 2019 - 2021-50% Documentary | All uses except Theatrical and New Media - 5 consecutive years</v>
      </c>
      <c r="F104" s="138">
        <v>3.5999999999999997E-2</v>
      </c>
    </row>
    <row r="105" spans="2:6">
      <c r="B105" s="136" t="s">
        <v>245</v>
      </c>
      <c r="C105" s="140" t="s">
        <v>244</v>
      </c>
      <c r="D105" s="138">
        <v>3.5999999999999997E-2</v>
      </c>
      <c r="E105" s="136" t="str">
        <f t="shared" si="1"/>
        <v>IPA 2019 - 2021-55% Fact-base / Lifestyle | All uses except Theatrical, including New Media - 4 consecutive years</v>
      </c>
      <c r="F105" s="138">
        <v>3.5999999999999997E-2</v>
      </c>
    </row>
    <row r="106" spans="2:6">
      <c r="B106" s="136" t="s">
        <v>245</v>
      </c>
      <c r="C106" s="140" t="s">
        <v>231</v>
      </c>
      <c r="D106" s="138">
        <v>3.5999999999999997E-2</v>
      </c>
      <c r="E106" s="136" t="str">
        <f t="shared" si="1"/>
        <v>IPA 2019 - 2021-50% Fact-base / Lifestyle | All uses except Theatrical and New Media - 4 consecutive years</v>
      </c>
      <c r="F106" s="138">
        <v>3.5999999999999997E-2</v>
      </c>
    </row>
    <row r="107" spans="2:6">
      <c r="B107" s="141" t="s">
        <v>249</v>
      </c>
      <c r="C107" s="142" t="s">
        <v>233</v>
      </c>
      <c r="D107" s="143">
        <v>3.5999999999999997E-2</v>
      </c>
      <c r="E107" s="141" t="str">
        <f t="shared" si="1"/>
        <v>IPA 2022 - 2024-135% Prepayment | All Use Including New Media - 4 consecutive years</v>
      </c>
      <c r="F107" s="143">
        <v>3.5999999999999997E-2</v>
      </c>
    </row>
    <row r="108" spans="2:6">
      <c r="B108" s="141" t="s">
        <v>249</v>
      </c>
      <c r="C108" s="144" t="s">
        <v>246</v>
      </c>
      <c r="D108" s="143">
        <v>3.5999999999999997E-2</v>
      </c>
      <c r="E108" s="141" t="str">
        <f t="shared" si="1"/>
        <v>IPA 2022 - 2024-130% Prepayment | Conventional  excluding New Media - 4 consecutive years</v>
      </c>
      <c r="F108" s="143">
        <v>3.5999999999999997E-2</v>
      </c>
    </row>
    <row r="109" spans="2:6">
      <c r="B109" s="141" t="s">
        <v>249</v>
      </c>
      <c r="C109" s="144" t="s">
        <v>235</v>
      </c>
      <c r="D109" s="143">
        <v>3.5999999999999997E-2</v>
      </c>
      <c r="E109" s="141" t="str">
        <f t="shared" si="1"/>
        <v>IPA 2022 - 2024-110% Prepayment | All Use Including New Media - 4 consecutive years</v>
      </c>
      <c r="F109" s="143">
        <v>3.5999999999999997E-2</v>
      </c>
    </row>
    <row r="110" spans="2:6">
      <c r="B110" s="141" t="s">
        <v>249</v>
      </c>
      <c r="C110" s="144" t="s">
        <v>236</v>
      </c>
      <c r="D110" s="143">
        <v>3.5999999999999997E-2</v>
      </c>
      <c r="E110" s="141" t="str">
        <f t="shared" si="1"/>
        <v>IPA 2022 - 2024-105% Prepayment | Conventional  excluding New Media - 4 consecutive years</v>
      </c>
      <c r="F110" s="143">
        <v>3.5999999999999997E-2</v>
      </c>
    </row>
    <row r="111" spans="2:6">
      <c r="B111" s="141" t="s">
        <v>249</v>
      </c>
      <c r="C111" s="145" t="s">
        <v>247</v>
      </c>
      <c r="D111" s="143">
        <v>3.5999999999999997E-2</v>
      </c>
      <c r="E111" s="141" t="str">
        <f t="shared" si="1"/>
        <v>IPA 2022 - 2024-105% New Media Use | Tier A or B - 4 consecutive years</v>
      </c>
      <c r="F111" s="143">
        <v>3.5999999999999997E-2</v>
      </c>
    </row>
    <row r="112" spans="2:6">
      <c r="B112" s="141" t="s">
        <v>249</v>
      </c>
      <c r="C112" s="145" t="s">
        <v>238</v>
      </c>
      <c r="D112" s="143">
        <v>3.5999999999999997E-2</v>
      </c>
      <c r="E112" s="141" t="str">
        <f t="shared" si="1"/>
        <v xml:space="preserve">IPA 2022 - 2024-New Media | Tier A or B - No Prepayment elected </v>
      </c>
      <c r="F112" s="143">
        <v>3.5999999999999997E-2</v>
      </c>
    </row>
    <row r="113" spans="2:6">
      <c r="B113" s="141" t="s">
        <v>249</v>
      </c>
      <c r="C113" s="145" t="s">
        <v>248</v>
      </c>
      <c r="D113" s="143">
        <v>0.08</v>
      </c>
      <c r="E113" s="141" t="str">
        <f t="shared" si="1"/>
        <v>IPA 2022 - 2024-105% New Media Use | Tier C or D - 4 consecutive years</v>
      </c>
      <c r="F113" s="143">
        <v>0.08</v>
      </c>
    </row>
    <row r="114" spans="2:6">
      <c r="B114" s="141" t="s">
        <v>249</v>
      </c>
      <c r="C114" s="145" t="s">
        <v>240</v>
      </c>
      <c r="D114" s="143">
        <v>0.08</v>
      </c>
      <c r="E114" s="141" t="str">
        <f t="shared" si="1"/>
        <v>IPA 2022 - 2024-New Media | Tier C or D  - No Prepayment elected</v>
      </c>
      <c r="F114" s="143">
        <v>0.08</v>
      </c>
    </row>
    <row r="115" spans="2:6">
      <c r="B115" s="141" t="s">
        <v>249</v>
      </c>
      <c r="C115" s="145" t="s">
        <v>22</v>
      </c>
      <c r="D115" s="143">
        <v>3.5999999999999997E-2</v>
      </c>
      <c r="E115" s="141" t="str">
        <f t="shared" si="1"/>
        <v>IPA 2022 - 2024-100% Advance</v>
      </c>
      <c r="F115" s="143">
        <v>3.5999999999999997E-2</v>
      </c>
    </row>
    <row r="116" spans="2:6">
      <c r="B116" s="141" t="s">
        <v>249</v>
      </c>
      <c r="C116" s="145" t="s">
        <v>23</v>
      </c>
      <c r="D116" s="143">
        <v>4.5999999999999999E-2</v>
      </c>
      <c r="E116" s="141" t="str">
        <f t="shared" si="1"/>
        <v>IPA 2022 - 2024-75% Advance</v>
      </c>
      <c r="F116" s="143">
        <v>4.5999999999999999E-2</v>
      </c>
    </row>
    <row r="117" spans="2:6">
      <c r="B117" s="141" t="s">
        <v>249</v>
      </c>
      <c r="C117" s="145" t="s">
        <v>24</v>
      </c>
      <c r="D117" s="143">
        <v>5.6000000000000001E-2</v>
      </c>
      <c r="E117" s="141" t="str">
        <f t="shared" si="1"/>
        <v>IPA 2022 - 2024-50% Advance</v>
      </c>
      <c r="F117" s="143">
        <v>5.6000000000000001E-2</v>
      </c>
    </row>
    <row r="118" spans="2:6">
      <c r="B118" s="141" t="s">
        <v>249</v>
      </c>
      <c r="C118" s="145" t="s">
        <v>25</v>
      </c>
      <c r="D118" s="143">
        <v>6.6000000000000003E-2</v>
      </c>
      <c r="E118" s="141" t="str">
        <f t="shared" si="1"/>
        <v>IPA 2022 - 2024-25% Advance</v>
      </c>
      <c r="F118" s="143">
        <v>6.6000000000000003E-2</v>
      </c>
    </row>
    <row r="119" spans="2:6">
      <c r="B119" s="141" t="s">
        <v>249</v>
      </c>
      <c r="C119" s="145" t="s">
        <v>250</v>
      </c>
      <c r="D119" s="143">
        <v>3.5999999999999997E-2</v>
      </c>
      <c r="E119" s="141" t="str">
        <f t="shared" si="1"/>
        <v>IPA 2022 - 2024-200% Prepayment | Animation - Conventional Use except New Media - 10 consecutive years</v>
      </c>
      <c r="F119" s="143">
        <v>3.5999999999999997E-2</v>
      </c>
    </row>
    <row r="120" spans="2:6">
      <c r="B120" s="141" t="s">
        <v>249</v>
      </c>
      <c r="C120" s="142" t="s">
        <v>251</v>
      </c>
      <c r="D120" s="143">
        <v>0</v>
      </c>
      <c r="E120" s="141" t="str">
        <f t="shared" si="1"/>
        <v>IPA 2022 - 2024-200% Prepayment | Animation - Conventional Use excluding Theatrical and New Media - Perpetuity</v>
      </c>
      <c r="F120" s="143">
        <v>0</v>
      </c>
    </row>
    <row r="121" spans="2:6">
      <c r="B121" s="141" t="s">
        <v>249</v>
      </c>
      <c r="C121" s="142" t="s">
        <v>263</v>
      </c>
      <c r="D121" s="143">
        <v>3.5999999999999997E-2</v>
      </c>
      <c r="E121" s="141" t="str">
        <f t="shared" si="1"/>
        <v>IPA 2022 - 2024-205% Prepayment | Animation - All Use including New Media - 10 consecutive years</v>
      </c>
      <c r="F121" s="143">
        <v>3.5999999999999997E-2</v>
      </c>
    </row>
    <row r="122" spans="2:6">
      <c r="B122" s="141" t="s">
        <v>249</v>
      </c>
      <c r="C122" s="142" t="s">
        <v>264</v>
      </c>
      <c r="D122" s="143">
        <v>0</v>
      </c>
      <c r="E122" s="141" t="str">
        <f t="shared" si="1"/>
        <v>IPA 2022 - 2024-205% Prepayment | Animation - All Use including New Media, excluding Theatrical - Perpetuity</v>
      </c>
      <c r="F122" s="143">
        <v>0</v>
      </c>
    </row>
    <row r="123" spans="2:6">
      <c r="B123" s="141" t="s">
        <v>249</v>
      </c>
      <c r="C123" s="145" t="s">
        <v>252</v>
      </c>
      <c r="D123" s="143">
        <v>0</v>
      </c>
      <c r="E123" s="141" t="str">
        <f t="shared" si="1"/>
        <v>IPA 2022 - 2024-215% Prepayment | Animation - Conventional Use excluding New Media | Less than 60 mins - Perpetuity</v>
      </c>
      <c r="F123" s="143">
        <v>0</v>
      </c>
    </row>
    <row r="124" spans="2:6">
      <c r="B124" s="141" t="s">
        <v>249</v>
      </c>
      <c r="C124" s="145" t="s">
        <v>253</v>
      </c>
      <c r="D124" s="143">
        <v>0</v>
      </c>
      <c r="E124" s="141" t="str">
        <f t="shared" si="1"/>
        <v>IPA 2022 - 2024-235% Prepayment | Animation - Conventional Use excluding New Media | Greater than 60 mins - Perpetuity</v>
      </c>
      <c r="F124" s="143">
        <v>0</v>
      </c>
    </row>
    <row r="125" spans="2:6">
      <c r="B125" s="141" t="s">
        <v>249</v>
      </c>
      <c r="C125" s="145" t="s">
        <v>265</v>
      </c>
      <c r="D125" s="143">
        <v>0</v>
      </c>
      <c r="E125" s="141" t="str">
        <f t="shared" si="1"/>
        <v>IPA 2022 - 2024-220% Prepayment | Animation - All Use including New Media | Less than 60 mins - Perpetuity</v>
      </c>
      <c r="F125" s="143">
        <v>0</v>
      </c>
    </row>
    <row r="126" spans="2:6">
      <c r="B126" s="141" t="s">
        <v>249</v>
      </c>
      <c r="C126" s="145" t="s">
        <v>266</v>
      </c>
      <c r="D126" s="143">
        <v>0</v>
      </c>
      <c r="E126" s="141" t="str">
        <f t="shared" si="1"/>
        <v>IPA 2022 - 2024-240% Prepayment | Animation - All Use including New Media | Greater than 60 mins - Perpetuity</v>
      </c>
      <c r="F126" s="143">
        <v>0</v>
      </c>
    </row>
    <row r="127" spans="2:6">
      <c r="B127" s="141" t="s">
        <v>249</v>
      </c>
      <c r="C127" s="145" t="s">
        <v>243</v>
      </c>
      <c r="D127" s="143">
        <v>3.5999999999999997E-2</v>
      </c>
      <c r="E127" s="141" t="str">
        <f t="shared" si="1"/>
        <v>IPA 2022 - 2024-55% Documentary | All uses except Theatrical, including New Media - 5 consecutive years</v>
      </c>
      <c r="F127" s="143">
        <v>3.5999999999999997E-2</v>
      </c>
    </row>
    <row r="128" spans="2:6">
      <c r="B128" s="141" t="s">
        <v>249</v>
      </c>
      <c r="C128" s="145" t="s">
        <v>225</v>
      </c>
      <c r="D128" s="143">
        <v>3.5999999999999997E-2</v>
      </c>
      <c r="E128" s="141" t="str">
        <f t="shared" si="1"/>
        <v>IPA 2022 - 2024-50% Documentary | All uses except Theatrical and New Media - 5 consecutive years</v>
      </c>
      <c r="F128" s="143">
        <v>3.5999999999999997E-2</v>
      </c>
    </row>
    <row r="129" spans="2:6">
      <c r="B129" s="141" t="s">
        <v>249</v>
      </c>
      <c r="C129" s="145" t="s">
        <v>244</v>
      </c>
      <c r="D129" s="143">
        <v>3.5999999999999997E-2</v>
      </c>
      <c r="E129" s="141" t="str">
        <f t="shared" si="1"/>
        <v>IPA 2022 - 2024-55% Fact-base / Lifestyle | All uses except Theatrical, including New Media - 4 consecutive years</v>
      </c>
      <c r="F129" s="143">
        <v>3.5999999999999997E-2</v>
      </c>
    </row>
    <row r="130" spans="2:6">
      <c r="B130" s="141" t="s">
        <v>249</v>
      </c>
      <c r="C130" s="147" t="s">
        <v>231</v>
      </c>
      <c r="D130" s="148">
        <v>3.5999999999999997E-2</v>
      </c>
      <c r="E130" s="146" t="str">
        <f t="shared" si="1"/>
        <v>IPA 2022 - 2024-50% Fact-base / Lifestyle | All uses except Theatrical and New Media - 4 consecutive years</v>
      </c>
      <c r="F130" s="148">
        <v>3.5999999999999997E-2</v>
      </c>
    </row>
  </sheetData>
  <phoneticPr fontId="2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4.5"/>
  <cols>
    <col min="1" max="1" width="14" bestFit="1" customWidth="1"/>
    <col min="2" max="2" width="28.81640625" bestFit="1" customWidth="1"/>
    <col min="3" max="3" width="5" bestFit="1" customWidth="1"/>
    <col min="4" max="4" width="54" bestFit="1" customWidth="1"/>
    <col min="5" max="5" width="54" customWidth="1"/>
    <col min="7" max="7" width="29.453125" bestFit="1" customWidth="1"/>
  </cols>
  <sheetData>
    <row r="1" spans="1:7">
      <c r="A1" s="12" t="s">
        <v>18</v>
      </c>
      <c r="B1" s="12" t="s">
        <v>19</v>
      </c>
      <c r="C1" s="12" t="s">
        <v>20</v>
      </c>
      <c r="D1" t="s">
        <v>42</v>
      </c>
      <c r="E1" s="9">
        <v>0.06</v>
      </c>
      <c r="F1" s="13" t="str">
        <f>IF(OR('REPORTING FORM'!D5="1995-1998",'REPORTING FORM'!D5="1999-2001",'REPORTING FORM'!D5="2002-2003",'REPORTING FORM'!D5="2004-2006"),"Green",IF(OR('REPORTING FORM'!D5="2007-2009",'REPORTING FORM'!D5="2010-2012",'REPORTING FORM'!D5="2013-2015"),"Pink",IF(OR('REPORTING FORM'!D5="2016-2018",'REPORTING FORM'!D5="2019-2021",'REPORTING FORM'!D5="2022-2024"),"Blue","Default")))</f>
        <v>Default</v>
      </c>
      <c r="G1" s="14" t="s">
        <v>156</v>
      </c>
    </row>
    <row r="2" spans="1:7">
      <c r="A2" s="6" t="s">
        <v>32</v>
      </c>
      <c r="B2" s="6" t="s">
        <v>22</v>
      </c>
      <c r="C2" s="9">
        <v>0.06</v>
      </c>
      <c r="D2" t="s">
        <v>43</v>
      </c>
      <c r="E2" s="9">
        <v>7.0000000000000007E-2</v>
      </c>
    </row>
    <row r="3" spans="1:7">
      <c r="A3" s="6" t="s">
        <v>33</v>
      </c>
      <c r="B3" s="6" t="s">
        <v>23</v>
      </c>
      <c r="C3" s="9">
        <v>7.0000000000000007E-2</v>
      </c>
      <c r="D3" t="s">
        <v>44</v>
      </c>
      <c r="E3" s="9">
        <v>0.08</v>
      </c>
    </row>
    <row r="4" spans="1:7">
      <c r="A4" s="6" t="s">
        <v>34</v>
      </c>
      <c r="B4" s="6" t="s">
        <v>24</v>
      </c>
      <c r="C4" s="9">
        <v>0.08</v>
      </c>
      <c r="D4" t="s">
        <v>45</v>
      </c>
      <c r="E4" s="9">
        <v>0.09</v>
      </c>
    </row>
    <row r="5" spans="1:7">
      <c r="A5" s="6" t="s">
        <v>35</v>
      </c>
      <c r="B5" s="6" t="s">
        <v>25</v>
      </c>
      <c r="C5" s="9">
        <v>0.09</v>
      </c>
      <c r="D5" t="s">
        <v>46</v>
      </c>
      <c r="E5" s="9">
        <v>0.11</v>
      </c>
    </row>
    <row r="6" spans="1:7">
      <c r="A6" s="7" t="s">
        <v>36</v>
      </c>
      <c r="B6" s="6" t="s">
        <v>26</v>
      </c>
      <c r="C6" s="9">
        <v>0.11</v>
      </c>
      <c r="D6" t="s">
        <v>47</v>
      </c>
      <c r="E6" s="9">
        <v>0.13</v>
      </c>
    </row>
    <row r="7" spans="1:7">
      <c r="A7" s="7" t="s">
        <v>37</v>
      </c>
      <c r="B7" s="6" t="s">
        <v>27</v>
      </c>
      <c r="C7" s="9">
        <v>0.13</v>
      </c>
      <c r="D7" t="s">
        <v>48</v>
      </c>
      <c r="E7" s="9">
        <v>0.06</v>
      </c>
    </row>
    <row r="8" spans="1:7">
      <c r="A8" s="7" t="s">
        <v>38</v>
      </c>
      <c r="B8" s="7" t="s">
        <v>22</v>
      </c>
      <c r="C8" s="10">
        <v>0.05</v>
      </c>
      <c r="D8" t="s">
        <v>49</v>
      </c>
      <c r="E8" s="9">
        <v>7.0000000000000007E-2</v>
      </c>
    </row>
    <row r="9" spans="1:7">
      <c r="A9" s="8" t="s">
        <v>39</v>
      </c>
      <c r="B9" s="7" t="s">
        <v>23</v>
      </c>
      <c r="C9" s="10">
        <v>0.06</v>
      </c>
      <c r="D9" t="s">
        <v>50</v>
      </c>
      <c r="E9" s="9">
        <v>0.08</v>
      </c>
    </row>
    <row r="10" spans="1:7">
      <c r="A10" s="8" t="s">
        <v>40</v>
      </c>
      <c r="B10" s="7" t="s">
        <v>24</v>
      </c>
      <c r="C10" s="10">
        <v>7.0000000000000007E-2</v>
      </c>
      <c r="D10" t="s">
        <v>51</v>
      </c>
      <c r="E10" s="9">
        <v>0.09</v>
      </c>
    </row>
    <row r="11" spans="1:7">
      <c r="A11" s="8" t="s">
        <v>41</v>
      </c>
      <c r="B11" s="7" t="s">
        <v>25</v>
      </c>
      <c r="C11" s="10">
        <v>0.08</v>
      </c>
      <c r="D11" t="s">
        <v>52</v>
      </c>
      <c r="E11" s="9">
        <v>0.11</v>
      </c>
    </row>
    <row r="12" spans="1:7">
      <c r="B12" s="7" t="s">
        <v>26</v>
      </c>
      <c r="C12" s="10">
        <v>0.09</v>
      </c>
      <c r="D12" t="s">
        <v>53</v>
      </c>
      <c r="E12" s="9">
        <v>0.13</v>
      </c>
    </row>
    <row r="13" spans="1:7">
      <c r="B13" s="7" t="s">
        <v>27</v>
      </c>
      <c r="C13" s="10">
        <v>0.11</v>
      </c>
      <c r="D13" t="s">
        <v>54</v>
      </c>
      <c r="E13" s="9">
        <v>0.06</v>
      </c>
    </row>
    <row r="14" spans="1:7">
      <c r="B14" s="8" t="s">
        <v>28</v>
      </c>
      <c r="C14" s="11">
        <v>0.05</v>
      </c>
      <c r="D14" t="s">
        <v>55</v>
      </c>
      <c r="E14" s="9">
        <v>7.0000000000000007E-2</v>
      </c>
    </row>
    <row r="15" spans="1:7">
      <c r="B15" s="8" t="s">
        <v>29</v>
      </c>
      <c r="C15" s="11">
        <v>0.05</v>
      </c>
      <c r="D15" t="s">
        <v>56</v>
      </c>
      <c r="E15" s="9">
        <v>0.08</v>
      </c>
    </row>
    <row r="16" spans="1:7">
      <c r="B16" s="8" t="s">
        <v>30</v>
      </c>
      <c r="C16" s="11">
        <v>0.05</v>
      </c>
      <c r="D16" t="s">
        <v>57</v>
      </c>
      <c r="E16" s="9">
        <v>0.09</v>
      </c>
    </row>
    <row r="17" spans="2:5">
      <c r="B17" s="8" t="s">
        <v>31</v>
      </c>
      <c r="C17" s="11">
        <v>0.05</v>
      </c>
      <c r="D17" t="s">
        <v>58</v>
      </c>
      <c r="E17" s="9">
        <v>0.11</v>
      </c>
    </row>
    <row r="18" spans="2:5">
      <c r="B18" s="8" t="s">
        <v>22</v>
      </c>
      <c r="C18" s="11">
        <v>0.05</v>
      </c>
      <c r="D18" t="s">
        <v>59</v>
      </c>
      <c r="E18" s="9">
        <v>0.13</v>
      </c>
    </row>
    <row r="19" spans="2:5">
      <c r="B19" s="8" t="s">
        <v>23</v>
      </c>
      <c r="C19" s="11">
        <v>0.06</v>
      </c>
      <c r="D19" t="s">
        <v>60</v>
      </c>
      <c r="E19" s="9">
        <v>0.06</v>
      </c>
    </row>
    <row r="20" spans="2:5">
      <c r="B20" s="8" t="s">
        <v>24</v>
      </c>
      <c r="C20" s="11">
        <v>7.0000000000000007E-2</v>
      </c>
      <c r="D20" t="s">
        <v>61</v>
      </c>
      <c r="E20" s="9">
        <v>7.0000000000000007E-2</v>
      </c>
    </row>
    <row r="21" spans="2:5">
      <c r="B21" s="8" t="s">
        <v>25</v>
      </c>
      <c r="C21" s="11">
        <v>0.08</v>
      </c>
      <c r="D21" t="s">
        <v>62</v>
      </c>
      <c r="E21" s="9">
        <v>0.08</v>
      </c>
    </row>
    <row r="22" spans="2:5">
      <c r="B22" s="8" t="s">
        <v>26</v>
      </c>
      <c r="C22" s="11">
        <v>0.09</v>
      </c>
      <c r="D22" t="s">
        <v>63</v>
      </c>
      <c r="E22" s="9">
        <v>0.09</v>
      </c>
    </row>
    <row r="23" spans="2:5">
      <c r="B23" s="8" t="s">
        <v>27</v>
      </c>
      <c r="C23" s="11">
        <v>0.11</v>
      </c>
      <c r="D23" t="s">
        <v>64</v>
      </c>
      <c r="E23" s="9">
        <v>0.11</v>
      </c>
    </row>
    <row r="24" spans="2:5">
      <c r="D24" t="s">
        <v>65</v>
      </c>
      <c r="E24" s="9">
        <v>0.13</v>
      </c>
    </row>
    <row r="25" spans="2:5">
      <c r="D25" t="s">
        <v>66</v>
      </c>
      <c r="E25" s="10">
        <v>0.05</v>
      </c>
    </row>
    <row r="26" spans="2:5">
      <c r="D26" t="s">
        <v>67</v>
      </c>
      <c r="E26" s="10">
        <v>0.06</v>
      </c>
    </row>
    <row r="27" spans="2:5">
      <c r="D27" t="s">
        <v>68</v>
      </c>
      <c r="E27" s="10">
        <v>7.0000000000000007E-2</v>
      </c>
    </row>
    <row r="28" spans="2:5">
      <c r="D28" t="s">
        <v>69</v>
      </c>
      <c r="E28" s="10">
        <v>0.08</v>
      </c>
    </row>
    <row r="29" spans="2:5">
      <c r="D29" t="s">
        <v>70</v>
      </c>
      <c r="E29" s="10">
        <v>0.09</v>
      </c>
    </row>
    <row r="30" spans="2:5">
      <c r="D30" t="s">
        <v>71</v>
      </c>
      <c r="E30" s="10">
        <v>0.11</v>
      </c>
    </row>
    <row r="31" spans="2:5">
      <c r="D31" t="s">
        <v>72</v>
      </c>
      <c r="E31" s="10">
        <v>0.05</v>
      </c>
    </row>
    <row r="32" spans="2:5">
      <c r="D32" t="s">
        <v>73</v>
      </c>
      <c r="E32" s="10">
        <v>0.06</v>
      </c>
    </row>
    <row r="33" spans="4:5">
      <c r="D33" t="s">
        <v>74</v>
      </c>
      <c r="E33" s="10">
        <v>7.0000000000000007E-2</v>
      </c>
    </row>
    <row r="34" spans="4:5">
      <c r="D34" t="s">
        <v>75</v>
      </c>
      <c r="E34" s="10">
        <v>0.08</v>
      </c>
    </row>
    <row r="35" spans="4:5">
      <c r="D35" t="s">
        <v>76</v>
      </c>
      <c r="E35" s="10">
        <v>0.09</v>
      </c>
    </row>
    <row r="36" spans="4:5">
      <c r="D36" t="s">
        <v>77</v>
      </c>
      <c r="E36" s="10">
        <v>0.11</v>
      </c>
    </row>
    <row r="37" spans="4:5">
      <c r="D37" t="s">
        <v>78</v>
      </c>
      <c r="E37" s="10">
        <v>0.05</v>
      </c>
    </row>
    <row r="38" spans="4:5">
      <c r="D38" t="s">
        <v>79</v>
      </c>
      <c r="E38" s="10">
        <v>0.06</v>
      </c>
    </row>
    <row r="39" spans="4:5">
      <c r="D39" t="s">
        <v>80</v>
      </c>
      <c r="E39" s="10">
        <v>7.0000000000000007E-2</v>
      </c>
    </row>
    <row r="40" spans="4:5">
      <c r="D40" t="s">
        <v>81</v>
      </c>
      <c r="E40" s="10">
        <v>0.08</v>
      </c>
    </row>
    <row r="41" spans="4:5">
      <c r="D41" t="s">
        <v>82</v>
      </c>
      <c r="E41" s="10">
        <v>0.09</v>
      </c>
    </row>
    <row r="42" spans="4:5">
      <c r="D42" t="s">
        <v>83</v>
      </c>
      <c r="E42" s="10">
        <v>0.11</v>
      </c>
    </row>
    <row r="43" spans="4:5">
      <c r="D43" t="s">
        <v>84</v>
      </c>
      <c r="E43" s="11">
        <v>0.05</v>
      </c>
    </row>
    <row r="44" spans="4:5">
      <c r="D44" t="s">
        <v>85</v>
      </c>
      <c r="E44" s="11">
        <v>0.05</v>
      </c>
    </row>
    <row r="45" spans="4:5">
      <c r="D45" t="s">
        <v>86</v>
      </c>
      <c r="E45" s="11">
        <v>0.05</v>
      </c>
    </row>
    <row r="46" spans="4:5">
      <c r="D46" t="s">
        <v>87</v>
      </c>
      <c r="E46" s="11">
        <v>0.05</v>
      </c>
    </row>
    <row r="47" spans="4:5">
      <c r="D47" t="s">
        <v>88</v>
      </c>
      <c r="E47" s="11">
        <v>0.05</v>
      </c>
    </row>
    <row r="48" spans="4:5">
      <c r="D48" t="s">
        <v>89</v>
      </c>
      <c r="E48" s="11">
        <v>0.06</v>
      </c>
    </row>
    <row r="49" spans="4:5">
      <c r="D49" t="s">
        <v>90</v>
      </c>
      <c r="E49" s="11">
        <v>7.0000000000000007E-2</v>
      </c>
    </row>
    <row r="50" spans="4:5">
      <c r="D50" t="s">
        <v>91</v>
      </c>
      <c r="E50" s="11">
        <v>0.08</v>
      </c>
    </row>
    <row r="51" spans="4:5">
      <c r="D51" t="s">
        <v>92</v>
      </c>
      <c r="E51" s="11">
        <v>0.09</v>
      </c>
    </row>
    <row r="52" spans="4:5">
      <c r="D52" t="s">
        <v>93</v>
      </c>
      <c r="E52" s="11">
        <v>0.11</v>
      </c>
    </row>
    <row r="53" spans="4:5">
      <c r="D53" t="s">
        <v>94</v>
      </c>
      <c r="E53" s="11">
        <v>0.05</v>
      </c>
    </row>
    <row r="54" spans="4:5">
      <c r="D54" t="s">
        <v>95</v>
      </c>
      <c r="E54" s="11">
        <v>0.05</v>
      </c>
    </row>
    <row r="55" spans="4:5">
      <c r="D55" t="s">
        <v>96</v>
      </c>
      <c r="E55" s="11">
        <v>0.05</v>
      </c>
    </row>
    <row r="56" spans="4:5">
      <c r="D56" t="s">
        <v>97</v>
      </c>
      <c r="E56" s="11">
        <v>0.05</v>
      </c>
    </row>
    <row r="57" spans="4:5">
      <c r="D57" t="s">
        <v>98</v>
      </c>
      <c r="E57" s="11">
        <v>0.05</v>
      </c>
    </row>
    <row r="58" spans="4:5">
      <c r="D58" t="s">
        <v>99</v>
      </c>
      <c r="E58" s="11">
        <v>0.06</v>
      </c>
    </row>
    <row r="59" spans="4:5">
      <c r="D59" t="s">
        <v>100</v>
      </c>
      <c r="E59" s="11">
        <v>7.0000000000000007E-2</v>
      </c>
    </row>
    <row r="60" spans="4:5">
      <c r="D60" t="s">
        <v>101</v>
      </c>
      <c r="E60" s="11">
        <v>0.08</v>
      </c>
    </row>
    <row r="61" spans="4:5">
      <c r="D61" t="s">
        <v>102</v>
      </c>
      <c r="E61" s="11">
        <v>0.09</v>
      </c>
    </row>
    <row r="62" spans="4:5">
      <c r="D62" t="s">
        <v>103</v>
      </c>
      <c r="E62" s="11">
        <v>0.11</v>
      </c>
    </row>
    <row r="63" spans="4:5">
      <c r="D63" t="s">
        <v>104</v>
      </c>
      <c r="E63" s="11">
        <v>0.05</v>
      </c>
    </row>
    <row r="64" spans="4:5">
      <c r="D64" t="s">
        <v>105</v>
      </c>
      <c r="E64" s="11">
        <v>0.05</v>
      </c>
    </row>
    <row r="65" spans="4:5">
      <c r="D65" t="s">
        <v>106</v>
      </c>
      <c r="E65" s="11">
        <v>0.05</v>
      </c>
    </row>
    <row r="66" spans="4:5">
      <c r="D66" t="s">
        <v>107</v>
      </c>
      <c r="E66" s="11">
        <v>0.05</v>
      </c>
    </row>
    <row r="67" spans="4:5">
      <c r="D67" t="s">
        <v>108</v>
      </c>
      <c r="E67" s="11">
        <v>0.05</v>
      </c>
    </row>
    <row r="68" spans="4:5">
      <c r="D68" t="s">
        <v>109</v>
      </c>
      <c r="E68" s="11">
        <v>0.06</v>
      </c>
    </row>
    <row r="69" spans="4:5">
      <c r="D69" t="s">
        <v>110</v>
      </c>
      <c r="E69" s="11">
        <v>7.0000000000000007E-2</v>
      </c>
    </row>
    <row r="70" spans="4:5">
      <c r="D70" t="s">
        <v>111</v>
      </c>
      <c r="E70" s="11">
        <v>0.08</v>
      </c>
    </row>
    <row r="71" spans="4:5">
      <c r="D71" t="s">
        <v>112</v>
      </c>
      <c r="E71" s="11">
        <v>0.09</v>
      </c>
    </row>
    <row r="72" spans="4:5">
      <c r="D72" t="s">
        <v>113</v>
      </c>
      <c r="E72" s="11">
        <v>0.11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E16" sqref="E16"/>
    </sheetView>
  </sheetViews>
  <sheetFormatPr defaultColWidth="9.1796875" defaultRowHeight="12.5"/>
  <cols>
    <col min="1" max="1" width="28.7265625" style="1" bestFit="1" customWidth="1"/>
    <col min="2" max="2" width="44.7265625" style="1" customWidth="1"/>
    <col min="3" max="10" width="28.7265625" style="1" bestFit="1" customWidth="1"/>
    <col min="11" max="13" width="42.81640625" style="1" bestFit="1" customWidth="1"/>
    <col min="14" max="16384" width="9.1796875" style="1"/>
  </cols>
  <sheetData>
    <row r="1" spans="1:7">
      <c r="B1" s="1" t="s">
        <v>122</v>
      </c>
      <c r="C1" s="1" t="s">
        <v>123</v>
      </c>
      <c r="D1" s="1" t="s">
        <v>124</v>
      </c>
    </row>
    <row r="2" spans="1:7">
      <c r="D2" s="1" t="s">
        <v>125</v>
      </c>
    </row>
    <row r="3" spans="1:7">
      <c r="A3" s="1" t="s">
        <v>118</v>
      </c>
      <c r="B3" s="2">
        <v>0.05</v>
      </c>
      <c r="C3" s="2">
        <v>0.05</v>
      </c>
      <c r="D3" s="1" t="s">
        <v>126</v>
      </c>
      <c r="E3" s="2" t="s">
        <v>127</v>
      </c>
      <c r="F3" s="2">
        <v>0.05</v>
      </c>
      <c r="G3" s="1" t="str">
        <f>"calculated at"&amp;" "&amp;"5%"</f>
        <v>calculated at 5%</v>
      </c>
    </row>
    <row r="4" spans="1:7">
      <c r="A4" s="1" t="s">
        <v>128</v>
      </c>
      <c r="B4" s="2">
        <v>0.05</v>
      </c>
      <c r="C4" s="2">
        <v>0.05</v>
      </c>
      <c r="D4" s="1" t="s">
        <v>126</v>
      </c>
      <c r="E4" s="2" t="s">
        <v>127</v>
      </c>
      <c r="F4" s="2">
        <v>0.05</v>
      </c>
      <c r="G4" s="1" t="str">
        <f>"calculated at"&amp;" "&amp;"5%"</f>
        <v>calculated at 5%</v>
      </c>
    </row>
    <row r="5" spans="1:7">
      <c r="A5" s="1" t="s">
        <v>120</v>
      </c>
      <c r="B5" s="2">
        <v>0.05</v>
      </c>
      <c r="C5" s="2">
        <v>0.05</v>
      </c>
      <c r="D5" s="1" t="s">
        <v>126</v>
      </c>
      <c r="E5" s="2" t="s">
        <v>127</v>
      </c>
      <c r="F5" s="2">
        <v>0.05</v>
      </c>
      <c r="G5" s="1" t="str">
        <f>"calculated at"&amp;" "&amp;"5%"</f>
        <v>calculated at 5%</v>
      </c>
    </row>
    <row r="6" spans="1:7">
      <c r="A6" s="1" t="s">
        <v>119</v>
      </c>
      <c r="B6" s="2">
        <v>0.05</v>
      </c>
      <c r="C6" s="2">
        <v>0.05</v>
      </c>
      <c r="D6" s="1" t="s">
        <v>126</v>
      </c>
      <c r="E6" s="2" t="s">
        <v>127</v>
      </c>
      <c r="F6" s="2">
        <v>0.05</v>
      </c>
      <c r="G6" s="1" t="str">
        <f>"calculated at"&amp;" "&amp;"5%"</f>
        <v>calculated at 5%</v>
      </c>
    </row>
    <row r="7" spans="1:7">
      <c r="A7" s="1" t="s">
        <v>129</v>
      </c>
      <c r="B7" s="2">
        <v>0.11</v>
      </c>
      <c r="C7" s="2">
        <v>0.05</v>
      </c>
      <c r="D7" s="2">
        <v>0.06</v>
      </c>
      <c r="E7" s="2" t="s">
        <v>259</v>
      </c>
      <c r="F7" s="2">
        <v>0.11</v>
      </c>
      <c r="G7" s="1" t="str">
        <f>"calculated at"&amp;" "&amp;"11%"</f>
        <v>calculated at 11%</v>
      </c>
    </row>
    <row r="8" spans="1:7">
      <c r="A8" s="1" t="s">
        <v>130</v>
      </c>
      <c r="B8" s="2">
        <v>0.12</v>
      </c>
      <c r="C8" s="2">
        <v>0.05</v>
      </c>
      <c r="D8" s="2">
        <v>7.0000000000000007E-2</v>
      </c>
      <c r="E8" s="2" t="s">
        <v>260</v>
      </c>
      <c r="F8" s="2">
        <v>0.12</v>
      </c>
      <c r="G8" s="1" t="str">
        <f>"calculated at"&amp;" "&amp;"12%"</f>
        <v>calculated at 12%</v>
      </c>
    </row>
    <row r="9" spans="1:7">
      <c r="A9" s="1" t="s">
        <v>131</v>
      </c>
      <c r="B9" s="2">
        <v>0.12</v>
      </c>
      <c r="C9" s="2">
        <v>0.05</v>
      </c>
      <c r="D9" s="2">
        <v>7.0000000000000007E-2</v>
      </c>
      <c r="E9" s="2" t="s">
        <v>132</v>
      </c>
      <c r="F9" s="2">
        <v>0.05</v>
      </c>
      <c r="G9" s="1" t="str">
        <f>"calculated at"&amp;" "&amp;"5%"</f>
        <v>calculated at 5%</v>
      </c>
    </row>
    <row r="10" spans="1:7">
      <c r="A10" s="1" t="s">
        <v>133</v>
      </c>
      <c r="B10" s="2">
        <v>0.13</v>
      </c>
      <c r="C10" s="2">
        <v>0.13</v>
      </c>
      <c r="D10" s="1" t="s">
        <v>134</v>
      </c>
      <c r="E10" s="2" t="s">
        <v>135</v>
      </c>
      <c r="F10" s="2">
        <v>0.13</v>
      </c>
      <c r="G10" s="1" t="str">
        <f>"calculated at"&amp;" "&amp;"13%"</f>
        <v>calculated at 13%</v>
      </c>
    </row>
    <row r="11" spans="1:7">
      <c r="A11" s="1" t="s">
        <v>136</v>
      </c>
      <c r="B11" s="15">
        <v>0.14974999999999999</v>
      </c>
      <c r="C11" s="2">
        <v>0.05</v>
      </c>
      <c r="D11" s="15">
        <v>9.9750000000000005E-2</v>
      </c>
      <c r="E11" s="2" t="s">
        <v>261</v>
      </c>
      <c r="F11" s="15">
        <v>0.14974999999999999</v>
      </c>
      <c r="G11" s="1" t="str">
        <f>"calculated at"&amp;" "&amp;"14.975%"</f>
        <v>calculated at 14.975%</v>
      </c>
    </row>
    <row r="12" spans="1:7">
      <c r="A12" s="1" t="s">
        <v>137</v>
      </c>
      <c r="B12" s="2">
        <v>0.15</v>
      </c>
      <c r="C12" s="2">
        <v>0.15</v>
      </c>
      <c r="D12" s="1" t="s">
        <v>134</v>
      </c>
      <c r="E12" s="2" t="s">
        <v>138</v>
      </c>
      <c r="F12" s="2">
        <v>0.15</v>
      </c>
      <c r="G12" s="1" t="str">
        <f>"calculated at"&amp;" "&amp;"15%"</f>
        <v>calculated at 15%</v>
      </c>
    </row>
    <row r="13" spans="1:7">
      <c r="A13" s="1" t="s">
        <v>139</v>
      </c>
      <c r="B13" s="2">
        <v>0.15</v>
      </c>
      <c r="C13" s="2">
        <v>0.15</v>
      </c>
      <c r="D13" s="1" t="s">
        <v>134</v>
      </c>
      <c r="E13" s="2" t="s">
        <v>138</v>
      </c>
      <c r="F13" s="2">
        <v>0.15</v>
      </c>
      <c r="G13" s="1" t="str">
        <f>"calculated at"&amp;" "&amp;"15%"</f>
        <v>calculated at 15%</v>
      </c>
    </row>
    <row r="14" spans="1:7">
      <c r="A14" s="1" t="s">
        <v>140</v>
      </c>
      <c r="B14" s="2">
        <v>0.15</v>
      </c>
      <c r="C14" s="2">
        <v>0.15</v>
      </c>
      <c r="D14" s="1" t="s">
        <v>134</v>
      </c>
      <c r="E14" s="2" t="s">
        <v>138</v>
      </c>
      <c r="F14" s="2">
        <v>0.15</v>
      </c>
      <c r="G14" s="1" t="str">
        <f>"calculated at"&amp;" "&amp;"15%"</f>
        <v>calculated at 15%</v>
      </c>
    </row>
    <row r="15" spans="1:7">
      <c r="A15" s="1" t="s">
        <v>141</v>
      </c>
      <c r="B15" s="2">
        <v>0.15</v>
      </c>
      <c r="C15" s="2">
        <v>0.15</v>
      </c>
      <c r="D15" s="1" t="s">
        <v>134</v>
      </c>
      <c r="E15" s="2" t="s">
        <v>138</v>
      </c>
      <c r="F15" s="2">
        <v>0.15</v>
      </c>
      <c r="G15" s="1" t="str">
        <f>"calculated at"&amp;" "&amp;"15%"</f>
        <v>calculated at 15%</v>
      </c>
    </row>
    <row r="16" spans="1:7">
      <c r="A16" s="1" t="s">
        <v>142</v>
      </c>
      <c r="E16" s="2" t="s">
        <v>143</v>
      </c>
      <c r="F16" s="2">
        <v>0</v>
      </c>
      <c r="G16" s="1" t="str">
        <f>"calculated at"&amp;" "&amp;"0%"</f>
        <v>calculated at 0%</v>
      </c>
    </row>
    <row r="22" spans="1:6" ht="13">
      <c r="A22" s="16">
        <v>0.05</v>
      </c>
      <c r="B22" s="1" t="e">
        <v>#N/A</v>
      </c>
      <c r="C22" s="1" t="e">
        <v>#N/A</v>
      </c>
    </row>
    <row r="23" spans="1:6">
      <c r="F23" s="17" t="e">
        <f>_xlfn.XLOOKUP('REPORTING FORM'!H8,'Delcared Use_HST'!A3:A16,'Delcared Use_HST'!B3:B16)</f>
        <v>#N/A</v>
      </c>
    </row>
    <row r="28" spans="1:6">
      <c r="A28" s="1">
        <v>0.05</v>
      </c>
      <c r="B28" s="1" t="e">
        <v>#N/A</v>
      </c>
      <c r="C28" s="1" t="e">
        <v>#N/A</v>
      </c>
    </row>
    <row r="32" spans="1:6">
      <c r="A32" s="1" t="s">
        <v>117</v>
      </c>
      <c r="B32" s="1" t="s">
        <v>144</v>
      </c>
    </row>
    <row r="33" spans="1:2">
      <c r="A33" s="1" t="s">
        <v>145</v>
      </c>
      <c r="B33" s="1" t="s">
        <v>146</v>
      </c>
    </row>
    <row r="34" spans="1:2">
      <c r="A34" s="1" t="s">
        <v>121</v>
      </c>
      <c r="B34" s="1" t="s">
        <v>147</v>
      </c>
    </row>
    <row r="35" spans="1:2">
      <c r="A35" s="1" t="s">
        <v>148</v>
      </c>
      <c r="B35" s="1" t="s">
        <v>149</v>
      </c>
    </row>
    <row r="36" spans="1:2">
      <c r="A36" s="1" t="s">
        <v>150</v>
      </c>
      <c r="B36" s="1" t="s">
        <v>151</v>
      </c>
    </row>
    <row r="37" spans="1:2">
      <c r="A37" s="1" t="s">
        <v>152</v>
      </c>
      <c r="B37" s="1" t="s">
        <v>149</v>
      </c>
    </row>
    <row r="38" spans="1:2">
      <c r="A38" s="1" t="s">
        <v>153</v>
      </c>
      <c r="B38" s="1" t="s">
        <v>154</v>
      </c>
    </row>
    <row r="39" spans="1:2">
      <c r="A39" s="1" t="s">
        <v>155</v>
      </c>
      <c r="B39" s="1" t="s">
        <v>134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CC03D68EF5554CA222253FDF98BBEC" ma:contentTypeVersion="14" ma:contentTypeDescription="Create a new document." ma:contentTypeScope="" ma:versionID="ca1766e3cf1f665146cac7d92cf0a1d2">
  <xsd:schema xmlns:xsd="http://www.w3.org/2001/XMLSchema" xmlns:xs="http://www.w3.org/2001/XMLSchema" xmlns:p="http://schemas.microsoft.com/office/2006/metadata/properties" xmlns:ns2="da14fd3b-bcb5-44ae-bf01-c9799fec822d" xmlns:ns3="537a7f48-319b-4c95-9575-f39e762cca7b" targetNamespace="http://schemas.microsoft.com/office/2006/metadata/properties" ma:root="true" ma:fieldsID="ad7e5bc48329a4bf73e0ee4e42b86e1f" ns2:_="" ns3:_="">
    <xsd:import namespace="da14fd3b-bcb5-44ae-bf01-c9799fec822d"/>
    <xsd:import namespace="537a7f48-319b-4c95-9575-f39e762cca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14fd3b-bcb5-44ae-bf01-c9799fec82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7a7f48-319b-4c95-9575-f39e762cca7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cfbfa1e-3b21-44bf-995b-de460abcefca}" ma:internalName="TaxCatchAll" ma:showField="CatchAllData" ma:web="537a7f48-319b-4c95-9575-f39e762cca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7a7f48-319b-4c95-9575-f39e762cca7b" xsi:nil="true"/>
  </documentManagement>
</p:properties>
</file>

<file path=customXml/itemProps1.xml><?xml version="1.0" encoding="utf-8"?>
<ds:datastoreItem xmlns:ds="http://schemas.openxmlformats.org/officeDocument/2006/customXml" ds:itemID="{55411A4A-5F7C-45A3-9669-FE182E5588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14fd3b-bcb5-44ae-bf01-c9799fec822d"/>
    <ds:schemaRef ds:uri="537a7f48-319b-4c95-9575-f39e762cca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36C62C-B560-4F6F-A43F-91DCE8692C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A21A3FC-5BA6-4031-A715-461EC48FFD60}">
  <ds:schemaRefs>
    <ds:schemaRef ds:uri="http://schemas.microsoft.com/office/2006/metadata/properties"/>
    <ds:schemaRef ds:uri="http://schemas.microsoft.com/office/infopath/2007/PartnerControls"/>
    <ds:schemaRef ds:uri="537a7f48-319b-4c95-9575-f39e762cca7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REPORTING FORM</vt:lpstr>
      <vt:lpstr>Sales Amount</vt:lpstr>
      <vt:lpstr>DGR2</vt:lpstr>
      <vt:lpstr>DGR</vt:lpstr>
      <vt:lpstr>Reference</vt:lpstr>
      <vt:lpstr>Delcared Use_HST</vt:lpstr>
      <vt:lpstr>BLUE</vt:lpstr>
      <vt:lpstr>GREEN</vt:lpstr>
      <vt:lpstr>GREY</vt:lpstr>
      <vt:lpstr>ORANGE</vt:lpstr>
      <vt:lpstr>PINK</vt:lpstr>
      <vt:lpstr>PURPLE</vt:lpstr>
      <vt:lpstr>RED</vt:lpstr>
      <vt:lpstr>YELLOW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Tony Walsh</cp:lastModifiedBy>
  <cp:lastPrinted>2024-09-12T19:34:07Z</cp:lastPrinted>
  <dcterms:created xsi:type="dcterms:W3CDTF">2024-08-15T18:33:26Z</dcterms:created>
  <dcterms:modified xsi:type="dcterms:W3CDTF">2024-10-30T16:39:05Z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0x0101006ACC03D68EF5554CA222253FDF98BBEC</vt:lpwstr>
  </property>
</Properties>
</file>